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Área Técnica\Temporais\2021\Projetos\P014_21_Aproleite\Fast tool\"/>
    </mc:Choice>
  </mc:AlternateContent>
  <xr:revisionPtr revIDLastSave="0" documentId="13_ncr:1_{9A29048F-49FA-42DD-B33D-7B537A0BD042}" xr6:coauthVersionLast="47" xr6:coauthVersionMax="47" xr10:uidLastSave="{00000000-0000-0000-0000-000000000000}"/>
  <bookViews>
    <workbookView xWindow="20370" yWindow="-120" windowWidth="29040" windowHeight="16440" tabRatio="935" firstSheet="1" activeTab="1" xr2:uid="{ACC721A5-C14B-46A6-8165-F396668FD805}"/>
  </bookViews>
  <sheets>
    <sheet name="Lista_suspensa" sheetId="5" state="hidden" r:id="rId1"/>
    <sheet name="Índice" sheetId="37" r:id="rId2"/>
    <sheet name="Cadastro" sheetId="2" r:id="rId3"/>
    <sheet name="Janeiro" sheetId="6" r:id="rId4"/>
    <sheet name="Fevereiro" sheetId="25" r:id="rId5"/>
    <sheet name="Março" sheetId="26" r:id="rId6"/>
    <sheet name="Abril" sheetId="27" r:id="rId7"/>
    <sheet name="Maio" sheetId="28" r:id="rId8"/>
    <sheet name="Junho" sheetId="29" r:id="rId9"/>
    <sheet name="Julho" sheetId="30" r:id="rId10"/>
    <sheet name="Agosto" sheetId="31" r:id="rId11"/>
    <sheet name="Setembro" sheetId="32" r:id="rId12"/>
    <sheet name="Outubro" sheetId="33" r:id="rId13"/>
    <sheet name="Novembro" sheetId="34" r:id="rId14"/>
    <sheet name="Dezembro" sheetId="35" r:id="rId15"/>
    <sheet name="Fluxo de Caixa" sheetId="19" r:id="rId16"/>
  </sheets>
  <externalReferences>
    <externalReference r:id="rId17"/>
    <externalReference r:id="rId18"/>
  </externalReferences>
  <definedNames>
    <definedName name="_xlnm._FilterDatabase" localSheetId="15" hidden="1">'Fluxo de Caixa'!$N$66:$Q$78</definedName>
    <definedName name="d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gerafwd">OFFSET([1]Inventário!$B$123:$B$143,0,0,COUNTA([1]Inventário!$B$123:$B$143),1)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ç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reregi">[2]Insumos!$C$4</definedName>
    <definedName name="rg_imp">[2]Inventário!$B$122:$B$142</definedName>
    <definedName name="rg_maq">[2]Inventário!$B$92:$B$112</definedName>
    <definedName name="rt_algodao">'[2]Pós Colheita'!$M$7</definedName>
    <definedName name="rt_milho">'[2]Pós Colheita'!$M$6</definedName>
    <definedName name="rt_soja">'[2]Pós Colheita'!$M$5</definedName>
    <definedName name="V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V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9" l="1"/>
  <c r="O29" i="19"/>
  <c r="N29" i="19"/>
  <c r="M29" i="19"/>
  <c r="L29" i="19"/>
  <c r="K29" i="19"/>
  <c r="J29" i="19"/>
  <c r="I29" i="19"/>
  <c r="H29" i="19"/>
  <c r="G29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P58" i="19"/>
  <c r="P57" i="19"/>
  <c r="P56" i="19"/>
  <c r="P55" i="19"/>
  <c r="P54" i="19"/>
  <c r="P53" i="19"/>
  <c r="P52" i="19"/>
  <c r="P51" i="19"/>
  <c r="P50" i="19"/>
  <c r="P49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O58" i="19"/>
  <c r="O57" i="19"/>
  <c r="O56" i="19"/>
  <c r="O55" i="19"/>
  <c r="O54" i="19"/>
  <c r="O53" i="19"/>
  <c r="O52" i="19"/>
  <c r="O51" i="19"/>
  <c r="O50" i="19"/>
  <c r="O49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N58" i="19"/>
  <c r="N57" i="19"/>
  <c r="N56" i="19"/>
  <c r="N55" i="19"/>
  <c r="N54" i="19"/>
  <c r="N53" i="19"/>
  <c r="N52" i="19"/>
  <c r="N51" i="19"/>
  <c r="N50" i="19"/>
  <c r="N49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M58" i="19"/>
  <c r="M57" i="19"/>
  <c r="M56" i="19"/>
  <c r="M55" i="19"/>
  <c r="M54" i="19"/>
  <c r="M53" i="19"/>
  <c r="M52" i="19"/>
  <c r="M51" i="19"/>
  <c r="M50" i="19"/>
  <c r="M49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L58" i="19"/>
  <c r="L57" i="19"/>
  <c r="L56" i="19"/>
  <c r="L55" i="19"/>
  <c r="L54" i="19"/>
  <c r="L53" i="19"/>
  <c r="L52" i="19"/>
  <c r="L51" i="19"/>
  <c r="L50" i="19"/>
  <c r="L49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K58" i="19"/>
  <c r="K57" i="19"/>
  <c r="K56" i="19"/>
  <c r="K55" i="19"/>
  <c r="K54" i="19"/>
  <c r="K53" i="19"/>
  <c r="K52" i="19"/>
  <c r="K51" i="19"/>
  <c r="K50" i="19"/>
  <c r="K49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J58" i="19"/>
  <c r="J57" i="19"/>
  <c r="J56" i="19"/>
  <c r="J55" i="19"/>
  <c r="J54" i="19"/>
  <c r="J53" i="19"/>
  <c r="J52" i="19"/>
  <c r="J51" i="19"/>
  <c r="J50" i="19"/>
  <c r="J49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I58" i="19"/>
  <c r="I57" i="19"/>
  <c r="I56" i="19"/>
  <c r="I55" i="19"/>
  <c r="I54" i="19"/>
  <c r="I53" i="19"/>
  <c r="I52" i="19"/>
  <c r="I51" i="19"/>
  <c r="I50" i="19"/>
  <c r="I49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H58" i="19"/>
  <c r="H57" i="19"/>
  <c r="H56" i="19"/>
  <c r="H55" i="19"/>
  <c r="H54" i="19"/>
  <c r="H53" i="19"/>
  <c r="H52" i="19"/>
  <c r="H51" i="19"/>
  <c r="H50" i="19"/>
  <c r="H49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G58" i="19"/>
  <c r="G57" i="19"/>
  <c r="G56" i="19"/>
  <c r="G55" i="19"/>
  <c r="G54" i="19"/>
  <c r="G53" i="19"/>
  <c r="G52" i="19"/>
  <c r="G51" i="19"/>
  <c r="G50" i="19"/>
  <c r="G49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AU8" i="2"/>
  <c r="AV5" i="2"/>
  <c r="F33" i="35"/>
  <c r="F32" i="35"/>
  <c r="F31" i="35"/>
  <c r="F30" i="35"/>
  <c r="F29" i="35"/>
  <c r="F33" i="34"/>
  <c r="F32" i="34"/>
  <c r="F31" i="34"/>
  <c r="F30" i="34"/>
  <c r="F29" i="34"/>
  <c r="F33" i="33"/>
  <c r="F32" i="33"/>
  <c r="F31" i="33"/>
  <c r="F30" i="33"/>
  <c r="F29" i="33"/>
  <c r="F33" i="32"/>
  <c r="F32" i="32"/>
  <c r="F31" i="32"/>
  <c r="F30" i="32"/>
  <c r="F29" i="32"/>
  <c r="F33" i="31"/>
  <c r="F32" i="31"/>
  <c r="F31" i="31"/>
  <c r="F30" i="31"/>
  <c r="F29" i="31"/>
  <c r="F33" i="30"/>
  <c r="F32" i="30"/>
  <c r="F31" i="30"/>
  <c r="F30" i="30"/>
  <c r="F29" i="30"/>
  <c r="F33" i="29"/>
  <c r="F32" i="29"/>
  <c r="F31" i="29"/>
  <c r="F30" i="29"/>
  <c r="F29" i="29"/>
  <c r="F33" i="28"/>
  <c r="F32" i="28"/>
  <c r="F31" i="28"/>
  <c r="F30" i="28"/>
  <c r="F29" i="28"/>
  <c r="F33" i="27"/>
  <c r="F32" i="27"/>
  <c r="F31" i="27"/>
  <c r="F30" i="27"/>
  <c r="F29" i="27"/>
  <c r="F33" i="26"/>
  <c r="F32" i="26"/>
  <c r="F31" i="26"/>
  <c r="F30" i="26"/>
  <c r="F29" i="26"/>
  <c r="F33" i="25"/>
  <c r="F32" i="25"/>
  <c r="F31" i="25"/>
  <c r="F30" i="25"/>
  <c r="F29" i="25"/>
  <c r="F33" i="6"/>
  <c r="F30" i="6"/>
  <c r="F31" i="6"/>
  <c r="F32" i="6"/>
  <c r="F29" i="6"/>
  <c r="S32" i="19"/>
  <c r="AB32" i="19" l="1"/>
  <c r="S38" i="19" s="1"/>
  <c r="AB39" i="19" l="1"/>
  <c r="V39" i="35"/>
  <c r="P24" i="19" s="1"/>
  <c r="V39" i="6"/>
  <c r="E24" i="19" l="1"/>
  <c r="M11" i="26"/>
  <c r="P23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O23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N23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M23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L23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K23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J23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I23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H23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G23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P32" i="19"/>
  <c r="O32" i="19"/>
  <c r="N32" i="19"/>
  <c r="M32" i="19"/>
  <c r="L32" i="19"/>
  <c r="K32" i="19"/>
  <c r="J32" i="19"/>
  <c r="I32" i="19"/>
  <c r="H32" i="19"/>
  <c r="G32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3" i="19"/>
  <c r="F32" i="19"/>
  <c r="E32" i="19"/>
  <c r="Q39" i="35" l="1"/>
  <c r="Q38" i="35"/>
  <c r="D34" i="35"/>
  <c r="M26" i="35"/>
  <c r="K25" i="35"/>
  <c r="C25" i="35"/>
  <c r="K24" i="35"/>
  <c r="C24" i="35"/>
  <c r="K23" i="35"/>
  <c r="C23" i="35"/>
  <c r="M20" i="35"/>
  <c r="D20" i="35"/>
  <c r="K19" i="35"/>
  <c r="K18" i="35"/>
  <c r="K17" i="35"/>
  <c r="K16" i="35"/>
  <c r="K15" i="35"/>
  <c r="K14" i="35"/>
  <c r="M11" i="35"/>
  <c r="D11" i="35"/>
  <c r="K10" i="35"/>
  <c r="K9" i="35"/>
  <c r="K8" i="35"/>
  <c r="K7" i="35"/>
  <c r="K6" i="35"/>
  <c r="K5" i="35"/>
  <c r="V39" i="34"/>
  <c r="O24" i="19" s="1"/>
  <c r="Q39" i="34"/>
  <c r="Q38" i="34"/>
  <c r="D34" i="34"/>
  <c r="M26" i="34"/>
  <c r="K25" i="34"/>
  <c r="C25" i="34"/>
  <c r="K24" i="34"/>
  <c r="C24" i="34"/>
  <c r="K23" i="34"/>
  <c r="C23" i="34"/>
  <c r="M20" i="34"/>
  <c r="D20" i="34"/>
  <c r="K19" i="34"/>
  <c r="K18" i="34"/>
  <c r="K17" i="34"/>
  <c r="K16" i="34"/>
  <c r="K15" i="34"/>
  <c r="K14" i="34"/>
  <c r="M11" i="34"/>
  <c r="D11" i="34"/>
  <c r="K10" i="34"/>
  <c r="K9" i="34"/>
  <c r="K8" i="34"/>
  <c r="K7" i="34"/>
  <c r="K6" i="34"/>
  <c r="K5" i="34"/>
  <c r="V39" i="33"/>
  <c r="N24" i="19" s="1"/>
  <c r="Q39" i="33"/>
  <c r="Q38" i="33"/>
  <c r="D34" i="33"/>
  <c r="M26" i="33"/>
  <c r="K25" i="33"/>
  <c r="C25" i="33"/>
  <c r="K24" i="33"/>
  <c r="C24" i="33"/>
  <c r="K23" i="33"/>
  <c r="C23" i="33"/>
  <c r="M20" i="33"/>
  <c r="D20" i="33"/>
  <c r="K19" i="33"/>
  <c r="K18" i="33"/>
  <c r="K17" i="33"/>
  <c r="K16" i="33"/>
  <c r="K15" i="33"/>
  <c r="K14" i="33"/>
  <c r="M11" i="33"/>
  <c r="D11" i="33"/>
  <c r="K10" i="33"/>
  <c r="K9" i="33"/>
  <c r="K8" i="33"/>
  <c r="K7" i="33"/>
  <c r="K6" i="33"/>
  <c r="K5" i="33"/>
  <c r="V39" i="32"/>
  <c r="M24" i="19" s="1"/>
  <c r="Q39" i="32"/>
  <c r="Q38" i="32"/>
  <c r="D34" i="32"/>
  <c r="M26" i="32"/>
  <c r="K25" i="32"/>
  <c r="C25" i="32"/>
  <c r="K24" i="32"/>
  <c r="C24" i="32"/>
  <c r="K23" i="32"/>
  <c r="C23" i="32"/>
  <c r="M20" i="32"/>
  <c r="D20" i="32"/>
  <c r="K19" i="32"/>
  <c r="K18" i="32"/>
  <c r="K17" i="32"/>
  <c r="K16" i="32"/>
  <c r="K15" i="32"/>
  <c r="K14" i="32"/>
  <c r="M11" i="32"/>
  <c r="D11" i="32"/>
  <c r="K10" i="32"/>
  <c r="K9" i="32"/>
  <c r="K8" i="32"/>
  <c r="K7" i="32"/>
  <c r="K6" i="32"/>
  <c r="K5" i="32"/>
  <c r="V39" i="31"/>
  <c r="L24" i="19" s="1"/>
  <c r="Q39" i="31"/>
  <c r="Q38" i="31"/>
  <c r="D34" i="31"/>
  <c r="M26" i="31"/>
  <c r="K25" i="31"/>
  <c r="C25" i="31"/>
  <c r="K24" i="31"/>
  <c r="C24" i="31"/>
  <c r="K23" i="31"/>
  <c r="C23" i="31"/>
  <c r="M20" i="31"/>
  <c r="D20" i="31"/>
  <c r="K19" i="31"/>
  <c r="K18" i="31"/>
  <c r="K17" i="31"/>
  <c r="K16" i="31"/>
  <c r="K15" i="31"/>
  <c r="K14" i="31"/>
  <c r="M11" i="31"/>
  <c r="D11" i="31"/>
  <c r="K10" i="31"/>
  <c r="K9" i="31"/>
  <c r="K8" i="31"/>
  <c r="K7" i="31"/>
  <c r="K6" i="31"/>
  <c r="K5" i="31"/>
  <c r="V39" i="30"/>
  <c r="K24" i="19" s="1"/>
  <c r="Q39" i="30"/>
  <c r="Q38" i="30"/>
  <c r="D34" i="30"/>
  <c r="M26" i="30"/>
  <c r="K25" i="30"/>
  <c r="C25" i="30"/>
  <c r="K24" i="30"/>
  <c r="C24" i="30"/>
  <c r="K23" i="30"/>
  <c r="C23" i="30"/>
  <c r="M20" i="30"/>
  <c r="D20" i="30"/>
  <c r="K19" i="30"/>
  <c r="K18" i="30"/>
  <c r="K17" i="30"/>
  <c r="K16" i="30"/>
  <c r="K15" i="30"/>
  <c r="K14" i="30"/>
  <c r="M11" i="30"/>
  <c r="D11" i="30"/>
  <c r="K10" i="30"/>
  <c r="K9" i="30"/>
  <c r="K8" i="30"/>
  <c r="K7" i="30"/>
  <c r="K6" i="30"/>
  <c r="K5" i="30"/>
  <c r="V39" i="29"/>
  <c r="J24" i="19" s="1"/>
  <c r="Q39" i="29"/>
  <c r="Q38" i="29"/>
  <c r="D34" i="29"/>
  <c r="M26" i="29"/>
  <c r="K25" i="29"/>
  <c r="C25" i="29"/>
  <c r="K24" i="29"/>
  <c r="C24" i="29"/>
  <c r="K23" i="29"/>
  <c r="C23" i="29"/>
  <c r="M20" i="29"/>
  <c r="D20" i="29"/>
  <c r="K19" i="29"/>
  <c r="K18" i="29"/>
  <c r="K17" i="29"/>
  <c r="K16" i="29"/>
  <c r="K15" i="29"/>
  <c r="K14" i="29"/>
  <c r="M11" i="29"/>
  <c r="D11" i="29"/>
  <c r="K10" i="29"/>
  <c r="K9" i="29"/>
  <c r="K8" i="29"/>
  <c r="K7" i="29"/>
  <c r="K6" i="29"/>
  <c r="K5" i="29"/>
  <c r="V39" i="28"/>
  <c r="I24" i="19" s="1"/>
  <c r="Q39" i="28"/>
  <c r="Q38" i="28"/>
  <c r="D34" i="28"/>
  <c r="M26" i="28"/>
  <c r="K25" i="28"/>
  <c r="C25" i="28"/>
  <c r="K24" i="28"/>
  <c r="C24" i="28"/>
  <c r="K23" i="28"/>
  <c r="C23" i="28"/>
  <c r="M20" i="28"/>
  <c r="D20" i="28"/>
  <c r="K19" i="28"/>
  <c r="K18" i="28"/>
  <c r="K17" i="28"/>
  <c r="K16" i="28"/>
  <c r="K15" i="28"/>
  <c r="K14" i="28"/>
  <c r="M11" i="28"/>
  <c r="D11" i="28"/>
  <c r="K10" i="28"/>
  <c r="K9" i="28"/>
  <c r="K8" i="28"/>
  <c r="K7" i="28"/>
  <c r="K6" i="28"/>
  <c r="K5" i="28"/>
  <c r="V39" i="27"/>
  <c r="H24" i="19" s="1"/>
  <c r="Q39" i="27"/>
  <c r="Q38" i="27"/>
  <c r="D34" i="27"/>
  <c r="M26" i="27"/>
  <c r="K25" i="27"/>
  <c r="C25" i="27"/>
  <c r="K24" i="27"/>
  <c r="C24" i="27"/>
  <c r="K23" i="27"/>
  <c r="C23" i="27"/>
  <c r="M20" i="27"/>
  <c r="D20" i="27"/>
  <c r="K19" i="27"/>
  <c r="K18" i="27"/>
  <c r="K17" i="27"/>
  <c r="K16" i="27"/>
  <c r="K15" i="27"/>
  <c r="K14" i="27"/>
  <c r="M11" i="27"/>
  <c r="D11" i="27"/>
  <c r="K10" i="27"/>
  <c r="K9" i="27"/>
  <c r="K8" i="27"/>
  <c r="K7" i="27"/>
  <c r="K6" i="27"/>
  <c r="K5" i="27"/>
  <c r="V39" i="26"/>
  <c r="G24" i="19" s="1"/>
  <c r="Q39" i="26"/>
  <c r="Q38" i="26"/>
  <c r="D34" i="26"/>
  <c r="M26" i="26"/>
  <c r="K25" i="26"/>
  <c r="C25" i="26"/>
  <c r="K24" i="26"/>
  <c r="C24" i="26"/>
  <c r="K23" i="26"/>
  <c r="C23" i="26"/>
  <c r="M20" i="26"/>
  <c r="D20" i="26"/>
  <c r="K19" i="26"/>
  <c r="K18" i="26"/>
  <c r="K17" i="26"/>
  <c r="K16" i="26"/>
  <c r="K15" i="26"/>
  <c r="K14" i="26"/>
  <c r="D11" i="26"/>
  <c r="K10" i="26"/>
  <c r="K9" i="26"/>
  <c r="K8" i="26"/>
  <c r="K7" i="26"/>
  <c r="K6" i="26"/>
  <c r="K5" i="26"/>
  <c r="V39" i="25"/>
  <c r="F24" i="19" s="1"/>
  <c r="Q39" i="25"/>
  <c r="Q38" i="25"/>
  <c r="D34" i="25"/>
  <c r="M26" i="25"/>
  <c r="K25" i="25"/>
  <c r="C25" i="25"/>
  <c r="K24" i="25"/>
  <c r="C24" i="25"/>
  <c r="K23" i="25"/>
  <c r="C23" i="25"/>
  <c r="M20" i="25"/>
  <c r="D20" i="25"/>
  <c r="K19" i="25"/>
  <c r="K18" i="25"/>
  <c r="K17" i="25"/>
  <c r="K16" i="25"/>
  <c r="K15" i="25"/>
  <c r="K14" i="25"/>
  <c r="M11" i="25"/>
  <c r="D11" i="25"/>
  <c r="K10" i="25"/>
  <c r="K9" i="25"/>
  <c r="K8" i="25"/>
  <c r="K7" i="25"/>
  <c r="F29" i="19" s="1"/>
  <c r="K6" i="25"/>
  <c r="K5" i="25"/>
  <c r="O22" i="19" l="1"/>
  <c r="O25" i="19" s="1"/>
  <c r="AA22" i="19" s="1"/>
  <c r="L22" i="19"/>
  <c r="L25" i="19" s="1"/>
  <c r="AA19" i="19" s="1"/>
  <c r="I22" i="19"/>
  <c r="I25" i="19" s="1"/>
  <c r="AA16" i="19" s="1"/>
  <c r="H22" i="19"/>
  <c r="H25" i="19" s="1"/>
  <c r="AA15" i="19" s="1"/>
  <c r="G22" i="19"/>
  <c r="G25" i="19" s="1"/>
  <c r="AA14" i="19" s="1"/>
  <c r="M22" i="19"/>
  <c r="M25" i="19" s="1"/>
  <c r="AA20" i="19" s="1"/>
  <c r="J22" i="19"/>
  <c r="J25" i="19" s="1"/>
  <c r="AA17" i="19" s="1"/>
  <c r="F34" i="31"/>
  <c r="Z19" i="19" s="1"/>
  <c r="F34" i="35"/>
  <c r="Z23" i="19" s="1"/>
  <c r="F34" i="33"/>
  <c r="N22" i="19"/>
  <c r="K22" i="19"/>
  <c r="F34" i="30"/>
  <c r="Z18" i="19" s="1"/>
  <c r="F34" i="29"/>
  <c r="Z17" i="19" s="1"/>
  <c r="F34" i="28"/>
  <c r="Z16" i="19" s="1"/>
  <c r="F34" i="27"/>
  <c r="Z15" i="19" s="1"/>
  <c r="F22" i="19"/>
  <c r="P22" i="19"/>
  <c r="F34" i="34"/>
  <c r="F34" i="32"/>
  <c r="F34" i="26"/>
  <c r="Z14" i="19" s="1"/>
  <c r="F34" i="25"/>
  <c r="Z13" i="19" s="1"/>
  <c r="AY11" i="2"/>
  <c r="AY12" i="2"/>
  <c r="AY15" i="2"/>
  <c r="AY16" i="2"/>
  <c r="AY19" i="2"/>
  <c r="AY20" i="2"/>
  <c r="AY23" i="2"/>
  <c r="AY24" i="2"/>
  <c r="AX9" i="2"/>
  <c r="AY9" i="2" s="1"/>
  <c r="AX10" i="2"/>
  <c r="AY10" i="2" s="1"/>
  <c r="AX11" i="2"/>
  <c r="AX12" i="2"/>
  <c r="AX13" i="2"/>
  <c r="AY13" i="2" s="1"/>
  <c r="AX14" i="2"/>
  <c r="AY14" i="2" s="1"/>
  <c r="AX15" i="2"/>
  <c r="AX16" i="2"/>
  <c r="AX17" i="2"/>
  <c r="AY17" i="2" s="1"/>
  <c r="AX18" i="2"/>
  <c r="AY18" i="2" s="1"/>
  <c r="AX19" i="2"/>
  <c r="AX20" i="2"/>
  <c r="AX21" i="2"/>
  <c r="AY21" i="2" s="1"/>
  <c r="AX22" i="2"/>
  <c r="AY22" i="2" s="1"/>
  <c r="AX23" i="2"/>
  <c r="AX24" i="2"/>
  <c r="AX25" i="2"/>
  <c r="AY25" i="2" s="1"/>
  <c r="AX7" i="2"/>
  <c r="AY7" i="2" s="1"/>
  <c r="AX8" i="2"/>
  <c r="AY8" i="2" s="1"/>
  <c r="AX5" i="2"/>
  <c r="AY5" i="2" s="1"/>
  <c r="AP5" i="2"/>
  <c r="K24" i="6"/>
  <c r="K25" i="6"/>
  <c r="K23" i="6"/>
  <c r="P25" i="19" l="1"/>
  <c r="AA23" i="19" s="1"/>
  <c r="N25" i="19"/>
  <c r="F25" i="19"/>
  <c r="AA13" i="19" s="1"/>
  <c r="K25" i="19"/>
  <c r="AA18" i="19" s="1"/>
  <c r="Z22" i="19"/>
  <c r="Z21" i="19"/>
  <c r="Z20" i="19"/>
  <c r="D34" i="6"/>
  <c r="AA21" i="19" l="1"/>
  <c r="AS7" i="2"/>
  <c r="AW7" i="2" s="1"/>
  <c r="X29" i="2"/>
  <c r="L40" i="2"/>
  <c r="F34" i="6" l="1"/>
  <c r="D8" i="2"/>
  <c r="K8" i="6"/>
  <c r="K6" i="6"/>
  <c r="M11" i="6"/>
  <c r="K5" i="6" l="1"/>
  <c r="K16" i="6"/>
  <c r="K15" i="6"/>
  <c r="K17" i="6"/>
  <c r="K18" i="6"/>
  <c r="K19" i="6"/>
  <c r="K14" i="6"/>
  <c r="K7" i="6"/>
  <c r="K9" i="6"/>
  <c r="K10" i="6"/>
  <c r="E29" i="19" l="1"/>
  <c r="Z12" i="19"/>
  <c r="E34" i="2"/>
  <c r="E57" i="19" l="1"/>
  <c r="E46" i="19"/>
  <c r="E42" i="19"/>
  <c r="E38" i="19"/>
  <c r="E53" i="19"/>
  <c r="E44" i="19"/>
  <c r="E40" i="19"/>
  <c r="E36" i="19"/>
  <c r="E58" i="19"/>
  <c r="E43" i="19"/>
  <c r="E39" i="19"/>
  <c r="E35" i="19"/>
  <c r="E54" i="19"/>
  <c r="E45" i="19"/>
  <c r="E41" i="19"/>
  <c r="E37" i="19"/>
  <c r="E50" i="19"/>
  <c r="E47" i="19"/>
  <c r="F46" i="19"/>
  <c r="F36" i="19"/>
  <c r="F50" i="19"/>
  <c r="F57" i="19"/>
  <c r="F39" i="19"/>
  <c r="F54" i="19"/>
  <c r="F42" i="19"/>
  <c r="F47" i="19"/>
  <c r="F45" i="19"/>
  <c r="F44" i="19"/>
  <c r="F38" i="19"/>
  <c r="F58" i="19"/>
  <c r="F41" i="19"/>
  <c r="F40" i="19"/>
  <c r="F53" i="19"/>
  <c r="F37" i="19"/>
  <c r="F43" i="19"/>
  <c r="S11" i="19"/>
  <c r="AX29" i="2"/>
  <c r="AS30" i="2"/>
  <c r="AS31" i="2"/>
  <c r="AS32" i="2"/>
  <c r="AS29" i="2"/>
  <c r="AS37" i="2"/>
  <c r="AS38" i="2"/>
  <c r="AS36" i="2"/>
  <c r="AQ5" i="2"/>
  <c r="AP6" i="2"/>
  <c r="AQ6" i="2" s="1"/>
  <c r="AP7" i="2"/>
  <c r="AQ7" i="2"/>
  <c r="AP8" i="2"/>
  <c r="AQ8" i="2" s="1"/>
  <c r="AP9" i="2"/>
  <c r="AQ9" i="2"/>
  <c r="AP10" i="2"/>
  <c r="AQ10" i="2" s="1"/>
  <c r="AP11" i="2"/>
  <c r="AQ11" i="2"/>
  <c r="AP13" i="2"/>
  <c r="AQ13" i="2"/>
  <c r="AP14" i="2"/>
  <c r="AQ14" i="2" s="1"/>
  <c r="AP15" i="2"/>
  <c r="AQ15" i="2"/>
  <c r="AP16" i="2"/>
  <c r="AQ16" i="2" s="1"/>
  <c r="AP17" i="2"/>
  <c r="AQ17" i="2"/>
  <c r="AP18" i="2"/>
  <c r="AQ18" i="2" s="1"/>
  <c r="AP19" i="2"/>
  <c r="AQ19" i="2"/>
  <c r="AP20" i="2"/>
  <c r="AQ20" i="2" s="1"/>
  <c r="AP21" i="2"/>
  <c r="AQ21" i="2"/>
  <c r="AP22" i="2"/>
  <c r="AQ22" i="2" s="1"/>
  <c r="AP23" i="2"/>
  <c r="AQ23" i="2"/>
  <c r="AP24" i="2"/>
  <c r="AQ24" i="2" s="1"/>
  <c r="AP25" i="2"/>
  <c r="AQ25" i="2"/>
  <c r="AP26" i="2"/>
  <c r="AQ26" i="2" s="1"/>
  <c r="AP27" i="2"/>
  <c r="AQ27" i="2"/>
  <c r="AP28" i="2"/>
  <c r="AQ28" i="2" s="1"/>
  <c r="AP29" i="2"/>
  <c r="AQ29" i="2"/>
  <c r="AP30" i="2"/>
  <c r="AQ30" i="2" s="1"/>
  <c r="AP31" i="2"/>
  <c r="AQ31" i="2"/>
  <c r="AP32" i="2"/>
  <c r="AQ32" i="2" s="1"/>
  <c r="AP33" i="2"/>
  <c r="AQ33" i="2"/>
  <c r="AP34" i="2"/>
  <c r="AQ34" i="2" s="1"/>
  <c r="AP35" i="2"/>
  <c r="AQ35" i="2"/>
  <c r="AP36" i="2"/>
  <c r="AQ36" i="2" s="1"/>
  <c r="AP37" i="2"/>
  <c r="AQ37" i="2"/>
  <c r="AP38" i="2"/>
  <c r="AQ38" i="2"/>
  <c r="AP39" i="2"/>
  <c r="AQ39" i="2" s="1"/>
  <c r="AI13" i="2"/>
  <c r="AI31" i="2"/>
  <c r="AI35" i="2"/>
  <c r="AI39" i="2"/>
  <c r="AH8" i="2"/>
  <c r="AI8" i="2" s="1"/>
  <c r="AH9" i="2"/>
  <c r="AI9" i="2" s="1"/>
  <c r="AH11" i="2"/>
  <c r="AI11" i="2" s="1"/>
  <c r="AH12" i="2"/>
  <c r="AI12" i="2" s="1"/>
  <c r="AH13" i="2"/>
  <c r="AH14" i="2"/>
  <c r="AI14" i="2" s="1"/>
  <c r="AH15" i="2"/>
  <c r="AI15" i="2" s="1"/>
  <c r="AH16" i="2"/>
  <c r="AI16" i="2" s="1"/>
  <c r="AH17" i="2"/>
  <c r="AI17" i="2" s="1"/>
  <c r="AH18" i="2"/>
  <c r="AI18" i="2" s="1"/>
  <c r="AH19" i="2"/>
  <c r="AI19" i="2" s="1"/>
  <c r="AH20" i="2"/>
  <c r="AI20" i="2" s="1"/>
  <c r="AH21" i="2"/>
  <c r="AI21" i="2" s="1"/>
  <c r="AH22" i="2"/>
  <c r="AI22" i="2" s="1"/>
  <c r="AH23" i="2"/>
  <c r="AI23" i="2" s="1"/>
  <c r="AH24" i="2"/>
  <c r="AI24" i="2" s="1"/>
  <c r="AH25" i="2"/>
  <c r="AI25" i="2" s="1"/>
  <c r="AH26" i="2"/>
  <c r="AI26" i="2" s="1"/>
  <c r="AH27" i="2"/>
  <c r="AI27" i="2" s="1"/>
  <c r="AH28" i="2"/>
  <c r="AI28" i="2" s="1"/>
  <c r="AH29" i="2"/>
  <c r="AH30" i="2"/>
  <c r="AI30" i="2" s="1"/>
  <c r="AH31" i="2"/>
  <c r="AH32" i="2"/>
  <c r="AI32" i="2" s="1"/>
  <c r="AH33" i="2"/>
  <c r="AI33" i="2" s="1"/>
  <c r="AH34" i="2"/>
  <c r="AI34" i="2" s="1"/>
  <c r="AH35" i="2"/>
  <c r="AH36" i="2"/>
  <c r="AI36" i="2" s="1"/>
  <c r="AH37" i="2"/>
  <c r="AI37" i="2" s="1"/>
  <c r="AH38" i="2"/>
  <c r="AI38" i="2" s="1"/>
  <c r="AH39" i="2"/>
  <c r="D11" i="6"/>
  <c r="M26" i="6"/>
  <c r="AP43" i="5"/>
  <c r="AS43" i="5" s="1"/>
  <c r="AZ42" i="5"/>
  <c r="AP42" i="5"/>
  <c r="AS42" i="5" s="1"/>
  <c r="AP41" i="5"/>
  <c r="AS41" i="5" s="1"/>
  <c r="AX40" i="5"/>
  <c r="AP40" i="5"/>
  <c r="AS40" i="5" s="1"/>
  <c r="AP39" i="5"/>
  <c r="AS39" i="5" s="1"/>
  <c r="AZ38" i="5"/>
  <c r="AP38" i="5"/>
  <c r="AS38" i="5" s="1"/>
  <c r="AP37" i="5"/>
  <c r="AS37" i="5" s="1"/>
  <c r="AX36" i="5"/>
  <c r="AP36" i="5"/>
  <c r="AS36" i="5" s="1"/>
  <c r="AP35" i="5"/>
  <c r="AS35" i="5" s="1"/>
  <c r="AZ34" i="5"/>
  <c r="AP34" i="5"/>
  <c r="AS34" i="5" s="1"/>
  <c r="AP33" i="5"/>
  <c r="AS33" i="5" s="1"/>
  <c r="AX32" i="5"/>
  <c r="AP32" i="5"/>
  <c r="AS32" i="5" s="1"/>
  <c r="AP31" i="5"/>
  <c r="AS31" i="5" s="1"/>
  <c r="AZ30" i="5"/>
  <c r="AP30" i="5"/>
  <c r="AS30" i="5" s="1"/>
  <c r="AI29" i="2" l="1"/>
  <c r="E34" i="19"/>
  <c r="E48" i="19" s="1"/>
  <c r="AY29" i="2"/>
  <c r="AS49" i="5"/>
  <c r="AU49" i="5" s="1"/>
  <c r="AY16" i="5"/>
  <c r="AY24" i="5"/>
  <c r="AY23" i="5"/>
  <c r="AY18" i="5"/>
  <c r="AY22" i="5"/>
  <c r="AZ33" i="5"/>
  <c r="AY13" i="5"/>
  <c r="AY17" i="5"/>
  <c r="AY21" i="5"/>
  <c r="AY26" i="5"/>
  <c r="AY20" i="5"/>
  <c r="AU34" i="5"/>
  <c r="AX39" i="5"/>
  <c r="AZ37" i="5"/>
  <c r="AY14" i="5"/>
  <c r="AY15" i="5"/>
  <c r="AY25" i="5"/>
  <c r="AZ31" i="5"/>
  <c r="AX37" i="5"/>
  <c r="AU42" i="5"/>
  <c r="AX35" i="5"/>
  <c r="AV40" i="5"/>
  <c r="AZ35" i="5"/>
  <c r="AX41" i="5"/>
  <c r="AV32" i="5"/>
  <c r="AZ39" i="5"/>
  <c r="AZ41" i="5"/>
  <c r="AX43" i="5"/>
  <c r="AY19" i="5"/>
  <c r="AX31" i="5"/>
  <c r="AX33" i="5"/>
  <c r="AV36" i="5"/>
  <c r="AZ43" i="5"/>
  <c r="AV33" i="5"/>
  <c r="AU33" i="5"/>
  <c r="AV41" i="5"/>
  <c r="AU41" i="5"/>
  <c r="AV35" i="5"/>
  <c r="AU35" i="5"/>
  <c r="AV43" i="5"/>
  <c r="AU43" i="5"/>
  <c r="AV31" i="5"/>
  <c r="AU31" i="5"/>
  <c r="AV39" i="5"/>
  <c r="AU39" i="5"/>
  <c r="AS44" i="5"/>
  <c r="AV37" i="5"/>
  <c r="AU37" i="5"/>
  <c r="AX30" i="5"/>
  <c r="AZ32" i="5"/>
  <c r="AX34" i="5"/>
  <c r="AZ36" i="5"/>
  <c r="AX38" i="5"/>
  <c r="AZ40" i="5"/>
  <c r="AX42" i="5"/>
  <c r="AU40" i="5" l="1"/>
  <c r="BA40" i="5" s="1"/>
  <c r="BA33" i="5"/>
  <c r="BA39" i="5"/>
  <c r="BA43" i="5"/>
  <c r="AV34" i="5"/>
  <c r="BA34" i="5" s="1"/>
  <c r="AV42" i="5"/>
  <c r="BA42" i="5" s="1"/>
  <c r="AU38" i="5"/>
  <c r="AV38" i="5"/>
  <c r="AU30" i="5"/>
  <c r="AV30" i="5"/>
  <c r="AU32" i="5"/>
  <c r="BA32" i="5" s="1"/>
  <c r="BA31" i="5"/>
  <c r="BA35" i="5"/>
  <c r="AU36" i="5"/>
  <c r="BA36" i="5" s="1"/>
  <c r="BA37" i="5"/>
  <c r="BA41" i="5"/>
  <c r="BA38" i="5" l="1"/>
  <c r="AW44" i="5"/>
  <c r="AV44" i="5"/>
  <c r="BA30" i="5"/>
  <c r="M20" i="6" l="1"/>
  <c r="AU3" i="5"/>
  <c r="AU4" i="5"/>
  <c r="AU5" i="5"/>
  <c r="AU6" i="5"/>
  <c r="AU7" i="5"/>
  <c r="AU8" i="5"/>
  <c r="AU2" i="5"/>
  <c r="E25" i="19" l="1"/>
  <c r="X30" i="2"/>
  <c r="X31" i="2"/>
  <c r="X32" i="2"/>
  <c r="AB42" i="19" l="1"/>
  <c r="AB46" i="19"/>
  <c r="AB50" i="19"/>
  <c r="AB43" i="19"/>
  <c r="AB47" i="19"/>
  <c r="AB51" i="19"/>
  <c r="AB49" i="19"/>
  <c r="AB40" i="19"/>
  <c r="AB44" i="19"/>
  <c r="AB48" i="19"/>
  <c r="AB52" i="19"/>
  <c r="AB45" i="19"/>
  <c r="AB53" i="19"/>
  <c r="AB41" i="19"/>
  <c r="AA12" i="19"/>
  <c r="AX32" i="2"/>
  <c r="AY32" i="2"/>
  <c r="AX31" i="2"/>
  <c r="AY31" i="2" s="1"/>
  <c r="AX30" i="2"/>
  <c r="S16" i="19" l="1"/>
  <c r="S21" i="19"/>
  <c r="AB12" i="19"/>
  <c r="AY30" i="2"/>
  <c r="AY33" i="2" s="1"/>
  <c r="AX33" i="2"/>
  <c r="F37" i="2"/>
  <c r="F38" i="2"/>
  <c r="F39" i="2"/>
  <c r="AB13" i="19" l="1"/>
  <c r="AB14" i="19" s="1"/>
  <c r="AB15" i="19" s="1"/>
  <c r="AB16" i="19" s="1"/>
  <c r="AB17" i="19" s="1"/>
  <c r="AB18" i="19" s="1"/>
  <c r="AB19" i="19" s="1"/>
  <c r="AB20" i="19" s="1"/>
  <c r="AB21" i="19" s="1"/>
  <c r="AB22" i="19" s="1"/>
  <c r="AB23" i="19" s="1"/>
  <c r="AU36" i="2"/>
  <c r="AU37" i="2"/>
  <c r="AX37" i="2"/>
  <c r="AY37" i="2" s="1"/>
  <c r="F40" i="2"/>
  <c r="AX38" i="2"/>
  <c r="AY38" i="2" s="1"/>
  <c r="AX36" i="2"/>
  <c r="AY36" i="2" s="1"/>
  <c r="AU38" i="2"/>
  <c r="Q39" i="6"/>
  <c r="Q38" i="6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5" i="2"/>
  <c r="AS6" i="2"/>
  <c r="AS8" i="2"/>
  <c r="AW8" i="2" s="1"/>
  <c r="AS9" i="2"/>
  <c r="AW9" i="2" s="1"/>
  <c r="AS10" i="2"/>
  <c r="AW10" i="2" s="1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5" i="2"/>
  <c r="AU32" i="2"/>
  <c r="AU30" i="2"/>
  <c r="AU31" i="2"/>
  <c r="AU29" i="2"/>
  <c r="AU33" i="2" s="1"/>
  <c r="AV11" i="2" l="1"/>
  <c r="AW11" i="2"/>
  <c r="AY39" i="2"/>
  <c r="AX39" i="2"/>
  <c r="AU39" i="2"/>
  <c r="AG36" i="2"/>
  <c r="AF36" i="2"/>
  <c r="AG32" i="2"/>
  <c r="AF32" i="2"/>
  <c r="AG28" i="2"/>
  <c r="AF28" i="2"/>
  <c r="AG20" i="2"/>
  <c r="AF20" i="2"/>
  <c r="AG12" i="2"/>
  <c r="AF12" i="2"/>
  <c r="AO39" i="2"/>
  <c r="AN39" i="2"/>
  <c r="AO35" i="2"/>
  <c r="AN35" i="2"/>
  <c r="AO27" i="2"/>
  <c r="AN27" i="2"/>
  <c r="AO19" i="2"/>
  <c r="AN19" i="2"/>
  <c r="AO11" i="2"/>
  <c r="AN11" i="2"/>
  <c r="AW24" i="2"/>
  <c r="AV24" i="2"/>
  <c r="AW16" i="2"/>
  <c r="AV16" i="2"/>
  <c r="AV8" i="2"/>
  <c r="BD21" i="2"/>
  <c r="BF21" i="2" s="1"/>
  <c r="BG21" i="2" s="1"/>
  <c r="BE21" i="2"/>
  <c r="AG39" i="2"/>
  <c r="AF39" i="2"/>
  <c r="AG35" i="2"/>
  <c r="AF35" i="2"/>
  <c r="AG31" i="2"/>
  <c r="AF31" i="2"/>
  <c r="AG27" i="2"/>
  <c r="AF27" i="2"/>
  <c r="AG23" i="2"/>
  <c r="AF23" i="2"/>
  <c r="AG19" i="2"/>
  <c r="AF19" i="2"/>
  <c r="AG15" i="2"/>
  <c r="AF15" i="2"/>
  <c r="AG11" i="2"/>
  <c r="AF11" i="2"/>
  <c r="AG7" i="2"/>
  <c r="AF7" i="2"/>
  <c r="AH7" i="2" s="1"/>
  <c r="AO38" i="2"/>
  <c r="AN38" i="2"/>
  <c r="AO34" i="2"/>
  <c r="AN34" i="2"/>
  <c r="AO30" i="2"/>
  <c r="AN30" i="2"/>
  <c r="AO26" i="2"/>
  <c r="AN26" i="2"/>
  <c r="AO22" i="2"/>
  <c r="AN22" i="2"/>
  <c r="AO18" i="2"/>
  <c r="AN18" i="2"/>
  <c r="AO14" i="2"/>
  <c r="AN14" i="2"/>
  <c r="AO10" i="2"/>
  <c r="AN10" i="2"/>
  <c r="AO6" i="2"/>
  <c r="AN6" i="2"/>
  <c r="AV23" i="2"/>
  <c r="AW23" i="2"/>
  <c r="AV19" i="2"/>
  <c r="AW19" i="2"/>
  <c r="AV15" i="2"/>
  <c r="AW15" i="2"/>
  <c r="AV7" i="2"/>
  <c r="BE24" i="2"/>
  <c r="BD24" i="2"/>
  <c r="BF24" i="2" s="1"/>
  <c r="BG24" i="2" s="1"/>
  <c r="BE20" i="2"/>
  <c r="BD20" i="2"/>
  <c r="BF20" i="2" s="1"/>
  <c r="BG20" i="2" s="1"/>
  <c r="BE16" i="2"/>
  <c r="BD16" i="2"/>
  <c r="BF16" i="2" s="1"/>
  <c r="BG16" i="2" s="1"/>
  <c r="BE12" i="2"/>
  <c r="BD12" i="2"/>
  <c r="BF12" i="2" s="1"/>
  <c r="BG12" i="2" s="1"/>
  <c r="BD8" i="2"/>
  <c r="BF8" i="2" s="1"/>
  <c r="BG8" i="2" s="1"/>
  <c r="BE8" i="2"/>
  <c r="AG24" i="2"/>
  <c r="AF24" i="2"/>
  <c r="AG38" i="2"/>
  <c r="AF38" i="2"/>
  <c r="AG34" i="2"/>
  <c r="AF34" i="2"/>
  <c r="AG30" i="2"/>
  <c r="AF30" i="2"/>
  <c r="AG26" i="2"/>
  <c r="AF26" i="2"/>
  <c r="AG22" i="2"/>
  <c r="AF22" i="2"/>
  <c r="AG18" i="2"/>
  <c r="AF18" i="2"/>
  <c r="AG14" i="2"/>
  <c r="AF14" i="2"/>
  <c r="AG10" i="2"/>
  <c r="AF10" i="2"/>
  <c r="AH10" i="2" s="1"/>
  <c r="AI10" i="2" s="1"/>
  <c r="AG6" i="2"/>
  <c r="AF6" i="2"/>
  <c r="AH6" i="2" s="1"/>
  <c r="AI6" i="2" s="1"/>
  <c r="AN37" i="2"/>
  <c r="AO37" i="2"/>
  <c r="AN33" i="2"/>
  <c r="AO33" i="2"/>
  <c r="AN29" i="2"/>
  <c r="AO29" i="2"/>
  <c r="AN25" i="2"/>
  <c r="AO25" i="2"/>
  <c r="AN21" i="2"/>
  <c r="AO21" i="2"/>
  <c r="AN17" i="2"/>
  <c r="AO17" i="2"/>
  <c r="AN13" i="2"/>
  <c r="AO13" i="2"/>
  <c r="AN9" i="2"/>
  <c r="AO9" i="2"/>
  <c r="AW5" i="2"/>
  <c r="AV22" i="2"/>
  <c r="AW22" i="2"/>
  <c r="AW18" i="2"/>
  <c r="AV18" i="2"/>
  <c r="AV14" i="2"/>
  <c r="AW14" i="2"/>
  <c r="AV10" i="2"/>
  <c r="AW6" i="2"/>
  <c r="AV6" i="2"/>
  <c r="AX6" i="2" s="1"/>
  <c r="BE23" i="2"/>
  <c r="BD23" i="2"/>
  <c r="BF23" i="2" s="1"/>
  <c r="BG23" i="2" s="1"/>
  <c r="BE19" i="2"/>
  <c r="BD19" i="2"/>
  <c r="BF19" i="2" s="1"/>
  <c r="BG19" i="2" s="1"/>
  <c r="BE15" i="2"/>
  <c r="BD15" i="2"/>
  <c r="BF15" i="2" s="1"/>
  <c r="BG15" i="2" s="1"/>
  <c r="BE11" i="2"/>
  <c r="BD11" i="2"/>
  <c r="BF11" i="2" s="1"/>
  <c r="BG11" i="2" s="1"/>
  <c r="BE7" i="2"/>
  <c r="BD7" i="2"/>
  <c r="BF7" i="2" s="1"/>
  <c r="BG7" i="2" s="1"/>
  <c r="AF5" i="2"/>
  <c r="AH5" i="2" s="1"/>
  <c r="AG5" i="2"/>
  <c r="AF16" i="2"/>
  <c r="AG16" i="2"/>
  <c r="AG8" i="2"/>
  <c r="AF8" i="2"/>
  <c r="AO31" i="2"/>
  <c r="AN31" i="2"/>
  <c r="AO23" i="2"/>
  <c r="AN23" i="2"/>
  <c r="AO15" i="2"/>
  <c r="AN15" i="2"/>
  <c r="AO7" i="2"/>
  <c r="AN7" i="2"/>
  <c r="AW20" i="2"/>
  <c r="AV20" i="2"/>
  <c r="AW12" i="2"/>
  <c r="AV12" i="2"/>
  <c r="BD25" i="2"/>
  <c r="BF25" i="2" s="1"/>
  <c r="BG25" i="2" s="1"/>
  <c r="BE25" i="2"/>
  <c r="BD17" i="2"/>
  <c r="BF17" i="2" s="1"/>
  <c r="BG17" i="2" s="1"/>
  <c r="BE17" i="2"/>
  <c r="BD13" i="2"/>
  <c r="BF13" i="2" s="1"/>
  <c r="BG13" i="2" s="1"/>
  <c r="BE13" i="2"/>
  <c r="BD9" i="2"/>
  <c r="BF9" i="2" s="1"/>
  <c r="BG9" i="2" s="1"/>
  <c r="BE9" i="2"/>
  <c r="AG37" i="2"/>
  <c r="AF37" i="2"/>
  <c r="AF33" i="2"/>
  <c r="AG33" i="2"/>
  <c r="AF29" i="2"/>
  <c r="AG29" i="2"/>
  <c r="AF25" i="2"/>
  <c r="AG25" i="2"/>
  <c r="AG21" i="2"/>
  <c r="AF21" i="2"/>
  <c r="AG17" i="2"/>
  <c r="AF17" i="2"/>
  <c r="AG13" i="2"/>
  <c r="AF13" i="2"/>
  <c r="AG9" i="2"/>
  <c r="AF9" i="2"/>
  <c r="AO5" i="2"/>
  <c r="AN5" i="2"/>
  <c r="AN36" i="2"/>
  <c r="AO36" i="2"/>
  <c r="AN32" i="2"/>
  <c r="AO32" i="2"/>
  <c r="AN28" i="2"/>
  <c r="AO28" i="2"/>
  <c r="AN24" i="2"/>
  <c r="AO24" i="2"/>
  <c r="AN20" i="2"/>
  <c r="AO20" i="2"/>
  <c r="AN16" i="2"/>
  <c r="AO16" i="2"/>
  <c r="AN12" i="2"/>
  <c r="AP12" i="2" s="1"/>
  <c r="AO12" i="2"/>
  <c r="AN8" i="2"/>
  <c r="AO8" i="2"/>
  <c r="AW25" i="2"/>
  <c r="AV25" i="2"/>
  <c r="AW21" i="2"/>
  <c r="AV21" i="2"/>
  <c r="AW17" i="2"/>
  <c r="AV17" i="2"/>
  <c r="AW13" i="2"/>
  <c r="AV13" i="2"/>
  <c r="AV9" i="2"/>
  <c r="BE5" i="2"/>
  <c r="BD5" i="2"/>
  <c r="BF5" i="2" s="1"/>
  <c r="BG5" i="2" s="1"/>
  <c r="BE22" i="2"/>
  <c r="BD22" i="2"/>
  <c r="BF22" i="2" s="1"/>
  <c r="BG22" i="2" s="1"/>
  <c r="BE18" i="2"/>
  <c r="BD18" i="2"/>
  <c r="BF18" i="2" s="1"/>
  <c r="BG18" i="2" s="1"/>
  <c r="BE14" i="2"/>
  <c r="BD14" i="2"/>
  <c r="BF14" i="2" s="1"/>
  <c r="BG14" i="2" s="1"/>
  <c r="BE10" i="2"/>
  <c r="BD10" i="2"/>
  <c r="BF10" i="2" s="1"/>
  <c r="BG10" i="2" s="1"/>
  <c r="BE6" i="2"/>
  <c r="BD6" i="2"/>
  <c r="BF6" i="2" s="1"/>
  <c r="BC20" i="2"/>
  <c r="BC21" i="2"/>
  <c r="BC22" i="2"/>
  <c r="BC23" i="2"/>
  <c r="BC24" i="2"/>
  <c r="BC25" i="2"/>
  <c r="AU6" i="2"/>
  <c r="AU7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5" i="2"/>
  <c r="AE39" i="2"/>
  <c r="AE35" i="2"/>
  <c r="AE36" i="2"/>
  <c r="AE37" i="2"/>
  <c r="AE38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5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D20" i="6"/>
  <c r="E40" i="2"/>
  <c r="D40" i="2"/>
  <c r="X26" i="2"/>
  <c r="T26" i="2"/>
  <c r="P40" i="2"/>
  <c r="C25" i="6"/>
  <c r="C24" i="6"/>
  <c r="C23" i="6"/>
  <c r="AQ12" i="2" l="1"/>
  <c r="AQ40" i="2" s="1"/>
  <c r="AP40" i="2"/>
  <c r="AY6" i="2"/>
  <c r="AY26" i="2" s="1"/>
  <c r="AX26" i="2"/>
  <c r="AH40" i="2"/>
  <c r="BC26" i="2"/>
  <c r="AE40" i="2"/>
  <c r="AM40" i="2"/>
  <c r="AU26" i="2"/>
  <c r="BF26" i="2"/>
  <c r="AI5" i="2"/>
  <c r="BG6" i="2"/>
  <c r="BG26" i="2" s="1"/>
  <c r="AI7" i="2"/>
  <c r="E55" i="19" l="1"/>
  <c r="F55" i="19"/>
  <c r="E56" i="19"/>
  <c r="F56" i="19"/>
  <c r="AI40" i="2"/>
  <c r="D16" i="2"/>
  <c r="E13" i="2" s="1"/>
  <c r="E49" i="19" l="1"/>
  <c r="E51" i="19" s="1"/>
  <c r="F49" i="19"/>
  <c r="E12" i="2"/>
  <c r="E14" i="2"/>
  <c r="E15" i="2"/>
  <c r="E11" i="2"/>
  <c r="E16" i="2"/>
  <c r="D5" i="2" l="1"/>
  <c r="D25" i="2"/>
  <c r="D34" i="2"/>
  <c r="F34" i="2" s="1"/>
  <c r="F21" i="2"/>
  <c r="F28" i="2"/>
  <c r="E25" i="2"/>
  <c r="F25" i="2" l="1"/>
  <c r="E52" i="19" l="1"/>
  <c r="E59" i="19" s="1"/>
  <c r="S43" i="19" s="1"/>
  <c r="S48" i="19" s="1"/>
  <c r="F52" i="19"/>
  <c r="F29" i="2"/>
  <c r="F30" i="2"/>
  <c r="F31" i="2"/>
  <c r="F32" i="2"/>
  <c r="F33" i="2"/>
  <c r="F20" i="2"/>
  <c r="F22" i="2"/>
  <c r="F23" i="2"/>
  <c r="F24" i="2"/>
  <c r="F19" i="2"/>
  <c r="G34" i="19" l="1"/>
  <c r="G48" i="19" s="1"/>
  <c r="G59" i="19"/>
  <c r="H34" i="19"/>
  <c r="H48" i="19" s="1"/>
  <c r="H59" i="19"/>
  <c r="I34" i="19"/>
  <c r="I48" i="19" s="1"/>
  <c r="I59" i="19"/>
  <c r="J34" i="19"/>
  <c r="J48" i="19" s="1"/>
  <c r="J59" i="19"/>
  <c r="K59" i="19"/>
  <c r="K34" i="19"/>
  <c r="K48" i="19" s="1"/>
  <c r="L59" i="19"/>
  <c r="L34" i="19"/>
  <c r="L48" i="19" s="1"/>
  <c r="M59" i="19"/>
  <c r="M34" i="19"/>
  <c r="M48" i="19" s="1"/>
  <c r="N34" i="19"/>
  <c r="N48" i="19" s="1"/>
  <c r="N59" i="19"/>
  <c r="O34" i="19"/>
  <c r="O48" i="19" s="1"/>
  <c r="O59" i="19"/>
  <c r="P59" i="19"/>
  <c r="P34" i="19"/>
  <c r="P48" i="19" s="1"/>
  <c r="F35" i="19"/>
  <c r="F34" i="19" s="1"/>
  <c r="F48" i="19" s="1"/>
  <c r="F51" i="19" s="1"/>
  <c r="F59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</author>
  </authors>
  <commentList>
    <comment ref="AX13" authorId="0" shapeId="0" xr:uid="{0F36099D-F218-4D19-88A2-B6BA6A6E540A}">
      <text>
        <r>
          <rPr>
            <b/>
            <sz val="9"/>
            <color indexed="81"/>
            <rFont val="Segoe UI"/>
            <family val="2"/>
          </rPr>
          <t>Marcel:</t>
        </r>
        <r>
          <rPr>
            <sz val="9"/>
            <color indexed="81"/>
            <rFont val="Segoe UI"/>
            <family val="2"/>
          </rPr>
          <t xml:space="preserve">
a partir de 18.04.2018 o funrural mudou seu cálculo. Agora não mais será cobrado funrural (inss) sobre vendas de cria e recria, apenas para abate. Porém nos painéis estamos considerando isso a paritr dos painéis de 2019 apenas.</t>
        </r>
      </text>
    </comment>
    <comment ref="AV28" authorId="0" shapeId="0" xr:uid="{9059CFF9-59BD-4FFF-9B84-E395BFABE9B7}">
      <text>
        <r>
          <rPr>
            <b/>
            <sz val="9"/>
            <color indexed="81"/>
            <rFont val="Segoe UI"/>
            <family val="2"/>
          </rPr>
          <t>Marcel:</t>
        </r>
        <r>
          <rPr>
            <sz val="9"/>
            <color indexed="81"/>
            <rFont val="Segoe UI"/>
            <family val="2"/>
          </rPr>
          <t xml:space="preserve">
Fethab II ou Regional possui a mesma alíquota do Fethab I</t>
        </r>
      </text>
    </comment>
  </commentList>
</comments>
</file>

<file path=xl/sharedStrings.xml><?xml version="1.0" encoding="utf-8"?>
<sst xmlns="http://schemas.openxmlformats.org/spreadsheetml/2006/main" count="2865" uniqueCount="520">
  <si>
    <t>Cidade</t>
  </si>
  <si>
    <t>Região</t>
  </si>
  <si>
    <t>Centro-Sul</t>
  </si>
  <si>
    <t>Girolando</t>
  </si>
  <si>
    <t>Trimestre</t>
  </si>
  <si>
    <t>Segundo</t>
  </si>
  <si>
    <t>Leite</t>
  </si>
  <si>
    <t>Área (ha)</t>
  </si>
  <si>
    <t>(%)</t>
  </si>
  <si>
    <t>Pastagem</t>
  </si>
  <si>
    <t>Machos</t>
  </si>
  <si>
    <t>Fêmeas</t>
  </si>
  <si>
    <t>Peso médio</t>
  </si>
  <si>
    <t>(UA)</t>
  </si>
  <si>
    <t>Transporte</t>
  </si>
  <si>
    <t>Arrendamento</t>
  </si>
  <si>
    <t>Rebanho</t>
  </si>
  <si>
    <t>Máquinas, Implem., Equip. e Utilit.</t>
  </si>
  <si>
    <t>Benfeitorias</t>
  </si>
  <si>
    <t>Nome do produtor</t>
  </si>
  <si>
    <t xml:space="preserve">Raça predominate </t>
  </si>
  <si>
    <t>Área de pastagem</t>
  </si>
  <si>
    <t>Sistema de produção</t>
  </si>
  <si>
    <t>Reserva e APP</t>
  </si>
  <si>
    <t>Estado</t>
  </si>
  <si>
    <t>Área</t>
  </si>
  <si>
    <t>Forrageira</t>
  </si>
  <si>
    <t>Total</t>
  </si>
  <si>
    <t>Quantidade (cabeças)</t>
  </si>
  <si>
    <t>Em aleitamento</t>
  </si>
  <si>
    <t>Desmamados</t>
  </si>
  <si>
    <t>12-24 meses</t>
  </si>
  <si>
    <t>24-36 meses</t>
  </si>
  <si>
    <t>Acima de 36</t>
  </si>
  <si>
    <t>Touros</t>
  </si>
  <si>
    <t>Desmamadas</t>
  </si>
  <si>
    <t>36-48 meses</t>
  </si>
  <si>
    <t>Solteiras</t>
  </si>
  <si>
    <t>Mês base</t>
  </si>
  <si>
    <t>Linha</t>
  </si>
  <si>
    <t>Sistemas</t>
  </si>
  <si>
    <t>Regiões</t>
  </si>
  <si>
    <t>Primeiro</t>
  </si>
  <si>
    <t>Cria</t>
  </si>
  <si>
    <t>Recria</t>
  </si>
  <si>
    <t>Engorda</t>
  </si>
  <si>
    <t>Nordeste</t>
  </si>
  <si>
    <t>Cria-Recria</t>
  </si>
  <si>
    <t>Noroeste</t>
  </si>
  <si>
    <t>Recria-Engorda</t>
  </si>
  <si>
    <t>Norte</t>
  </si>
  <si>
    <t>Ciclo Completo</t>
  </si>
  <si>
    <t>Oeste</t>
  </si>
  <si>
    <t>Terceiro</t>
  </si>
  <si>
    <t>Confinamento</t>
  </si>
  <si>
    <t>Sudeste</t>
  </si>
  <si>
    <t>Quarto</t>
  </si>
  <si>
    <t>Municípios</t>
  </si>
  <si>
    <t>Médio-Norte</t>
  </si>
  <si>
    <t>Raças predominantes</t>
  </si>
  <si>
    <t>Holandesa</t>
  </si>
  <si>
    <t>Jersey</t>
  </si>
  <si>
    <t>Gir</t>
  </si>
  <si>
    <t>Guzerá</t>
  </si>
  <si>
    <t>Nelore</t>
  </si>
  <si>
    <t>Acorizal</t>
  </si>
  <si>
    <t>Água Boa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</si>
  <si>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</si>
  <si>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</si>
  <si>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</si>
  <si>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</si>
  <si>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</si>
  <si>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</si>
  <si>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</si>
  <si>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</si>
  <si>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</si>
  <si>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</si>
  <si>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</si>
  <si>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</si>
  <si>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</si>
  <si>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</si>
  <si>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</si>
  <si>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</si>
  <si>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</si>
  <si>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</si>
  <si>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</si>
  <si>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</si>
  <si>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</si>
  <si>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</si>
  <si>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</si>
  <si>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Canarana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</si>
  <si>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</si>
  <si>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</si>
  <si>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</si>
  <si>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</si>
  <si>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</si>
  <si>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</si>
  <si>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</si>
  <si>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</si>
  <si>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</si>
  <si>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</si>
  <si>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</si>
  <si>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</si>
  <si>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</si>
  <si>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</si>
  <si>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</si>
  <si>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</si>
  <si>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</si>
  <si>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</si>
  <si>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</si>
  <si>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</si>
  <si>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</si>
  <si>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</si>
  <si>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</si>
  <si>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</si>
  <si>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</si>
  <si>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</si>
  <si>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</si>
  <si>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</si>
  <si>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</si>
  <si>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</si>
  <si>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</si>
  <si>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</si>
  <si>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</si>
  <si>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</si>
  <si>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</si>
  <si>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</si>
  <si>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</si>
  <si>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Luciára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</si>
  <si>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</si>
  <si>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</si>
  <si>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</si>
  <si>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</si>
  <si>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</si>
  <si>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</si>
  <si>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</si>
  <si>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</si>
  <si>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</si>
  <si>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</si>
  <si>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</si>
  <si>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</si>
  <si>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</si>
  <si>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</si>
  <si>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</si>
  <si>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</si>
  <si>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</si>
  <si>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</si>
  <si>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</si>
  <si>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</si>
  <si>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</si>
  <si>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</si>
  <si>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</si>
  <si>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</si>
  <si>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</si>
  <si>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</si>
  <si>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</si>
  <si>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</si>
  <si>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</si>
  <si>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</si>
  <si>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</si>
  <si>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</si>
  <si>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</si>
  <si>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</si>
  <si>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</si>
  <si>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</si>
  <si>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</si>
  <si>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</si>
  <si>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</si>
  <si>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</si>
  <si>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</si>
  <si>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</si>
  <si>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</si>
  <si>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Rio Branco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</si>
  <si>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</si>
  <si>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</si>
  <si>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</si>
  <si>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</si>
  <si>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</si>
  <si>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</si>
  <si>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</si>
  <si>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</si>
  <si>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</si>
  <si>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</si>
  <si>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</si>
  <si>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</si>
  <si>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</si>
  <si>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</si>
  <si>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</si>
  <si>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</si>
  <si>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</si>
  <si>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</si>
  <si>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</si>
  <si>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</si>
  <si>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</si>
  <si>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</si>
  <si>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</si>
  <si>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</si>
  <si>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</si>
  <si>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</si>
  <si>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</si>
  <si>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</si>
  <si>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</si>
  <si>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</si>
  <si>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</si>
  <si>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</si>
  <si>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</si>
  <si>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Bom</t>
  </si>
  <si>
    <t>Médio</t>
  </si>
  <si>
    <t>Regular</t>
  </si>
  <si>
    <t>Ruim</t>
  </si>
  <si>
    <t>Insumo/Operação</t>
  </si>
  <si>
    <t>Manejo sanitário e reprodutivo</t>
  </si>
  <si>
    <t>Suplementação</t>
  </si>
  <si>
    <t>Mão de obra</t>
  </si>
  <si>
    <t>Manutenção</t>
  </si>
  <si>
    <t>Impostos e taxas</t>
  </si>
  <si>
    <t>Financeiras</t>
  </si>
  <si>
    <t>Outros custos</t>
  </si>
  <si>
    <t>Transporte de animal</t>
  </si>
  <si>
    <t>Hereford</t>
  </si>
  <si>
    <t>Angus</t>
  </si>
  <si>
    <t>Senepol</t>
  </si>
  <si>
    <t>Unidade</t>
  </si>
  <si>
    <t>Valor (R$)</t>
  </si>
  <si>
    <t>Valor</t>
  </si>
  <si>
    <t>Valor médio</t>
  </si>
  <si>
    <t>Vida útil</t>
  </si>
  <si>
    <t>Implemento</t>
  </si>
  <si>
    <t>Classe</t>
  </si>
  <si>
    <t>Vida útil - Anos</t>
  </si>
  <si>
    <t>Vida útil - Horas</t>
  </si>
  <si>
    <t>Vida útil - Dias</t>
  </si>
  <si>
    <t>Valor Residual</t>
  </si>
  <si>
    <t>Maquinários</t>
  </si>
  <si>
    <t>Benfeitoria</t>
  </si>
  <si>
    <t>Valor Residual (%)</t>
  </si>
  <si>
    <t>Tipo</t>
  </si>
  <si>
    <t>Máquinas</t>
  </si>
  <si>
    <t>-</t>
  </si>
  <si>
    <t>Maquinário</t>
  </si>
  <si>
    <t>Açude</t>
  </si>
  <si>
    <t>Administrativo</t>
  </si>
  <si>
    <t>Adubadeira</t>
  </si>
  <si>
    <t>Alojamento de alvenaria</t>
  </si>
  <si>
    <t>Adubadeira manual</t>
  </si>
  <si>
    <t>Alojamento de madeira</t>
  </si>
  <si>
    <t>Barracão de alvenaria</t>
  </si>
  <si>
    <t>Produtivo</t>
  </si>
  <si>
    <t>Barracão de madeira</t>
  </si>
  <si>
    <t>Caminhão</t>
  </si>
  <si>
    <t>Barragem</t>
  </si>
  <si>
    <t>Casa de alvenaria</t>
  </si>
  <si>
    <t>Casa de madeira</t>
  </si>
  <si>
    <t>Cerca externa</t>
  </si>
  <si>
    <t>Cerca interna</t>
  </si>
  <si>
    <t>Cisterna</t>
  </si>
  <si>
    <t>Eletrificação rural</t>
  </si>
  <si>
    <t>Escritório de alvenaria</t>
  </si>
  <si>
    <t>Arado</t>
  </si>
  <si>
    <t>Arado (animal)</t>
  </si>
  <si>
    <t>Desintegrador picador e moedor</t>
  </si>
  <si>
    <t>Ensiladeira</t>
  </si>
  <si>
    <t>Escavadeira hidráulica</t>
  </si>
  <si>
    <t>Poço artesiano</t>
  </si>
  <si>
    <t>Misturador autopropelido</t>
  </si>
  <si>
    <t>Refeitório</t>
  </si>
  <si>
    <t>Represa</t>
  </si>
  <si>
    <t>Bomba de irrigação</t>
  </si>
  <si>
    <t>Pá carregadeira (Maquinário)</t>
  </si>
  <si>
    <t>Tanque</t>
  </si>
  <si>
    <t>Caçamba carregadeira traseira</t>
  </si>
  <si>
    <t>Carreta</t>
  </si>
  <si>
    <t>Pulverizador autopropelido</t>
  </si>
  <si>
    <t>Carreta basculante metálica</t>
  </si>
  <si>
    <t>Roçadeira manual</t>
  </si>
  <si>
    <t>Carreta distribuidora de fertilizante, calcário e adubo orgânico</t>
  </si>
  <si>
    <t>Trator</t>
  </si>
  <si>
    <t>Trator de roda</t>
  </si>
  <si>
    <t>Trator de roda pequeno porte</t>
  </si>
  <si>
    <t>Triturador</t>
  </si>
  <si>
    <t>Triturador moedor e picador</t>
  </si>
  <si>
    <t>Vagão</t>
  </si>
  <si>
    <t>Ceifadeira de discos</t>
  </si>
  <si>
    <t>Colhedora de forragem</t>
  </si>
  <si>
    <t>Colhedora de milho</t>
  </si>
  <si>
    <t>Colheitadeira de milho-verde (espiga)</t>
  </si>
  <si>
    <t>Cultivador subsolador</t>
  </si>
  <si>
    <t>Desinsilador</t>
  </si>
  <si>
    <t>Distribuição de adubo, calcário, semente e fertilizante</t>
  </si>
  <si>
    <t>Distribuidor de adubo orgânico líquido-vácuo</t>
  </si>
  <si>
    <t>Distribuidor pendular de fertilizante, calcário e semeadeira</t>
  </si>
  <si>
    <t>Grade niveladora leve</t>
  </si>
  <si>
    <t>Guincho traseiro</t>
  </si>
  <si>
    <t xml:space="preserve">Misturador de ração 1 eixo vertical sem sistema de carregamento </t>
  </si>
  <si>
    <t>Pá carregadeira traseira</t>
  </si>
  <si>
    <t>Plaina</t>
  </si>
  <si>
    <t>Plantadeira</t>
  </si>
  <si>
    <t>Plantadeira adubadeira</t>
  </si>
  <si>
    <t>Pulveirizadora (Canhão)</t>
  </si>
  <si>
    <t>Pulverizador costal</t>
  </si>
  <si>
    <t>Pulverizador hidráulico</t>
  </si>
  <si>
    <t>Roçadeira</t>
  </si>
  <si>
    <t>Segadora</t>
  </si>
  <si>
    <t>Vagão forrageiro</t>
  </si>
  <si>
    <t>Vagão misturador</t>
  </si>
  <si>
    <t>Pró-labore</t>
  </si>
  <si>
    <t>Valor residual</t>
  </si>
  <si>
    <t>Depreciação</t>
  </si>
  <si>
    <t>Implementos</t>
  </si>
  <si>
    <t>Equipamentos</t>
  </si>
  <si>
    <t>Inventário da propriedade</t>
  </si>
  <si>
    <t>Combustível máquinário</t>
  </si>
  <si>
    <t>Combustível pessoal</t>
  </si>
  <si>
    <t>Uso na atividade (%)</t>
  </si>
  <si>
    <t>Produção</t>
  </si>
  <si>
    <t>Percentual</t>
  </si>
  <si>
    <t>Animais de serviço</t>
  </si>
  <si>
    <t>Quantidade</t>
  </si>
  <si>
    <t>Cavalo</t>
  </si>
  <si>
    <t>Égua</t>
  </si>
  <si>
    <t>Mula</t>
  </si>
  <si>
    <t>Burro</t>
  </si>
  <si>
    <t>Moto</t>
  </si>
  <si>
    <t>Carro</t>
  </si>
  <si>
    <t>Caminhinete</t>
  </si>
  <si>
    <t>Quadricículo</t>
  </si>
  <si>
    <t xml:space="preserve">Valor corrente dos animais </t>
  </si>
  <si>
    <t>Cabeça</t>
  </si>
  <si>
    <t>Taxa residual</t>
  </si>
  <si>
    <t>Bebedouro</t>
  </si>
  <si>
    <t>Custo de oportunidade da Terra</t>
  </si>
  <si>
    <t>Capital circulante</t>
  </si>
  <si>
    <t>Forrageira perene</t>
  </si>
  <si>
    <t>Custeio</t>
  </si>
  <si>
    <t>COE</t>
  </si>
  <si>
    <t>COT</t>
  </si>
  <si>
    <t>CT</t>
  </si>
  <si>
    <t xml:space="preserve">Sulcador </t>
  </si>
  <si>
    <t>Saleiro coberto</t>
  </si>
  <si>
    <t>Saleiro simples</t>
  </si>
  <si>
    <t>Caixa de água</t>
  </si>
  <si>
    <t>Curral de manejo</t>
  </si>
  <si>
    <t>Porteira de ferro</t>
  </si>
  <si>
    <t>Porteira de madeira</t>
  </si>
  <si>
    <t>Cocho de concreto</t>
  </si>
  <si>
    <t>Cocho de madeira</t>
  </si>
  <si>
    <t>Cocho de tambor</t>
  </si>
  <si>
    <t>Bezerreiro individual</t>
  </si>
  <si>
    <t>Bezerreiro coletivo</t>
  </si>
  <si>
    <t>Tanque de combustível</t>
  </si>
  <si>
    <t>Baia</t>
  </si>
  <si>
    <t>Encanamento</t>
  </si>
  <si>
    <t>Estrutura de confinamento</t>
  </si>
  <si>
    <t>Pistola p/vacina</t>
  </si>
  <si>
    <t>Marca de ferro</t>
  </si>
  <si>
    <t>Balança analógica</t>
  </si>
  <si>
    <t>Balançã digital</t>
  </si>
  <si>
    <t>Kit de identificação</t>
  </si>
  <si>
    <t>Kit de identificação digital</t>
  </si>
  <si>
    <t>Selaria completa</t>
  </si>
  <si>
    <t>kit de ferramentas</t>
  </si>
  <si>
    <t>Compressor</t>
  </si>
  <si>
    <t>Solda elétrica</t>
  </si>
  <si>
    <t>Tronco de contenção</t>
  </si>
  <si>
    <t>Motosserra</t>
  </si>
  <si>
    <t>Gerador</t>
  </si>
  <si>
    <t>Roçadeira motorizada</t>
  </si>
  <si>
    <t>Ordenhadeira balde ao pé</t>
  </si>
  <si>
    <t>Ordenhadeira canalizada</t>
  </si>
  <si>
    <t>Tanque resfriador</t>
  </si>
  <si>
    <t>Lavador de alta pressão</t>
  </si>
  <si>
    <t>Sala de Ordenha</t>
  </si>
  <si>
    <t>Transferidor de leite</t>
  </si>
  <si>
    <t>Balde</t>
  </si>
  <si>
    <t>EPI</t>
  </si>
  <si>
    <t>Veículos</t>
  </si>
  <si>
    <t>Caminhonete</t>
  </si>
  <si>
    <t>Seguro</t>
  </si>
  <si>
    <t>Lista de nº utilitários</t>
  </si>
  <si>
    <t>Lista sim e não</t>
  </si>
  <si>
    <t>Sim</t>
  </si>
  <si>
    <t>Não</t>
  </si>
  <si>
    <t>Acompanhamento mensal</t>
  </si>
  <si>
    <t>Lista de funções</t>
  </si>
  <si>
    <t>Vaqueiro</t>
  </si>
  <si>
    <t>Capataz</t>
  </si>
  <si>
    <t>Cozinheira</t>
  </si>
  <si>
    <t>Ajudante geral</t>
  </si>
  <si>
    <t>Gerente</t>
  </si>
  <si>
    <t>Operador</t>
  </si>
  <si>
    <t>Compra de animais</t>
  </si>
  <si>
    <t>Inventário de animais</t>
  </si>
  <si>
    <t>Utilitários</t>
  </si>
  <si>
    <t>Preço médio</t>
  </si>
  <si>
    <t>Energia</t>
  </si>
  <si>
    <t>Telefone/internet</t>
  </si>
  <si>
    <t>Alimentação dos funcionários</t>
  </si>
  <si>
    <t xml:space="preserve">Contador </t>
  </si>
  <si>
    <t>Cartório</t>
  </si>
  <si>
    <t>Advogado</t>
  </si>
  <si>
    <t>Manutenção de conta</t>
  </si>
  <si>
    <t>Capacitação de funcionários</t>
  </si>
  <si>
    <t>Outros</t>
  </si>
  <si>
    <t>Silo trincheira</t>
  </si>
  <si>
    <t>Glossário</t>
  </si>
  <si>
    <t>Ração, sal mineral, concentrados, entre outros.</t>
  </si>
  <si>
    <t xml:space="preserve">Todo o gasto realizado para manutenção das benfeitorias, maquinários, utilitarios entre outrs. EX: troca de pneu, reparo na cerca, </t>
  </si>
  <si>
    <t xml:space="preserve">Relatório Financeiro da Propriedade </t>
  </si>
  <si>
    <t>Fluxo de caixa da propriedade</t>
  </si>
  <si>
    <t>Receita</t>
  </si>
  <si>
    <t>Transporte animal</t>
  </si>
  <si>
    <t>Qualquer gasto realizado com transporte, seja de compra ou de venda</t>
  </si>
  <si>
    <t xml:space="preserve">Pró labore </t>
  </si>
  <si>
    <t>Vavinas, antibióticos, antiparasitários, brinco, produtos de ordenha, protocolos, medicamentos em geral, entre outros.</t>
  </si>
  <si>
    <t>Insunos: Herbicidas, inseticidas, entre outros.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</si>
  <si>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</si>
  <si>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</si>
  <si>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</si>
  <si>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</si>
  <si>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</si>
  <si>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</si>
  <si>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</si>
  <si>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</si>
  <si>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</si>
  <si>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</si>
  <si>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</si>
  <si>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</si>
  <si>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</si>
  <si>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Saldo</t>
  </si>
  <si>
    <t>Data</t>
  </si>
  <si>
    <t>Valor unitário</t>
  </si>
  <si>
    <t>ITR</t>
  </si>
  <si>
    <t>Fundos/Taxas</t>
  </si>
  <si>
    <t>Finalidade</t>
  </si>
  <si>
    <t>UPF base</t>
  </si>
  <si>
    <t>Alíquotas</t>
  </si>
  <si>
    <t>Valor UPF</t>
  </si>
  <si>
    <t>Valor Total</t>
  </si>
  <si>
    <t>FETHAB</t>
  </si>
  <si>
    <t>Abate</t>
  </si>
  <si>
    <t>UPF FETHAB</t>
  </si>
  <si>
    <t>FABOV</t>
  </si>
  <si>
    <t>FESA</t>
  </si>
  <si>
    <t>UPF (R$)</t>
  </si>
  <si>
    <t>GTA Abate</t>
  </si>
  <si>
    <t>GTA 0-12m</t>
  </si>
  <si>
    <t>Venda</t>
  </si>
  <si>
    <t>GTA 13-24m</t>
  </si>
  <si>
    <t>GTA&gt;25m</t>
  </si>
  <si>
    <t>Fórmulas para o cálculo de depreciação</t>
  </si>
  <si>
    <t>Funrural</t>
  </si>
  <si>
    <t>Parcela do financimento caso existir</t>
  </si>
  <si>
    <t>Valor novo</t>
  </si>
  <si>
    <t>Sindi</t>
  </si>
  <si>
    <t>Categoria</t>
  </si>
  <si>
    <t>Destino</t>
  </si>
  <si>
    <t>Rendimento</t>
  </si>
  <si>
    <t>Peso Vivo</t>
  </si>
  <si>
    <t>Preço de venda</t>
  </si>
  <si>
    <t>Total de Venda</t>
  </si>
  <si>
    <t>Taxa FUNRURAL</t>
  </si>
  <si>
    <t>FUNRURAL (R$)</t>
  </si>
  <si>
    <t>Categoria GTA</t>
  </si>
  <si>
    <t>Tx
GTA</t>
  </si>
  <si>
    <t>GTA</t>
  </si>
  <si>
    <r>
      <t xml:space="preserve">Tx </t>
    </r>
    <r>
      <rPr>
        <sz val="8"/>
        <rFont val="Calibri"/>
        <family val="2"/>
        <scheme val="minor"/>
      </rPr>
      <t>FETHAB</t>
    </r>
  </si>
  <si>
    <r>
      <rPr>
        <sz val="8"/>
        <rFont val="Calibri"/>
        <family val="2"/>
        <scheme val="minor"/>
      </rPr>
      <t>FETHAB</t>
    </r>
    <r>
      <rPr>
        <sz val="9"/>
        <rFont val="Calibri"/>
        <family val="2"/>
        <scheme val="minor"/>
      </rPr>
      <t xml:space="preserve"> I</t>
    </r>
  </si>
  <si>
    <r>
      <rPr>
        <sz val="8"/>
        <rFont val="Calibri"/>
        <family val="2"/>
        <scheme val="minor"/>
      </rPr>
      <t>FETHAB</t>
    </r>
    <r>
      <rPr>
        <sz val="9"/>
        <rFont val="Calibri"/>
        <family val="2"/>
        <scheme val="minor"/>
      </rPr>
      <t xml:space="preserve"> II</t>
    </r>
  </si>
  <si>
    <t>Tx FABOV</t>
  </si>
  <si>
    <t>Tx FESA</t>
  </si>
  <si>
    <r>
      <t xml:space="preserve">Total Imp. Venda </t>
    </r>
    <r>
      <rPr>
        <sz val="8"/>
        <rFont val="Calibri"/>
        <family val="2"/>
        <scheme val="minor"/>
      </rPr>
      <t>(R$)</t>
    </r>
  </si>
  <si>
    <r>
      <t xml:space="preserve">Total Imp. V. </t>
    </r>
    <r>
      <rPr>
        <sz val="8"/>
        <rFont val="Calibri"/>
        <family val="2"/>
        <scheme val="minor"/>
      </rPr>
      <t>(R$/ha)</t>
    </r>
  </si>
  <si>
    <t>FUNRURAL - VENDA DE LEITE</t>
  </si>
  <si>
    <t>Litros Leite</t>
  </si>
  <si>
    <t>Vivo</t>
  </si>
  <si>
    <t>@</t>
  </si>
  <si>
    <t>Kg</t>
  </si>
  <si>
    <t>Tropa</t>
  </si>
  <si>
    <t>Taxa de juros considerada</t>
  </si>
  <si>
    <t>Quanto custaria para reformar toda a área de pastagem da propriedade (deixá-la nova)</t>
  </si>
  <si>
    <t>Quanto custaria para reformar toda a área de forrageira da propriedade (deixá-la nova)</t>
  </si>
  <si>
    <t>As duas perguntas acima são importantes pois ajudam a calcular o custo de oportunidade das áreas de pagem e de forrageira perene. Dentro do valor solicitado, deve-se considerar todos os custos com insumos e com maquinário seja ele alugado ou próprio</t>
  </si>
  <si>
    <t>Arrendamento na região (cabeça)</t>
  </si>
  <si>
    <t/>
  </si>
  <si>
    <t>Denominação</t>
  </si>
  <si>
    <t>Laticício</t>
  </si>
  <si>
    <t xml:space="preserve">Vizinho </t>
  </si>
  <si>
    <t>Cliente 1</t>
  </si>
  <si>
    <t>Cliente 2</t>
  </si>
  <si>
    <t>Cliente 3</t>
  </si>
  <si>
    <t>Cliente 4</t>
  </si>
  <si>
    <t>Cliente 5</t>
  </si>
  <si>
    <t>Quantidade (litros)</t>
  </si>
  <si>
    <t>Preço (R$)</t>
  </si>
  <si>
    <t>Cooperativa</t>
  </si>
  <si>
    <t>Fesa</t>
  </si>
  <si>
    <t>Fethab</t>
  </si>
  <si>
    <t>Salário do produtor</t>
  </si>
  <si>
    <t>Salário</t>
  </si>
  <si>
    <t xml:space="preserve">Féias </t>
  </si>
  <si>
    <t xml:space="preserve">13º </t>
  </si>
  <si>
    <t>Percentual da receita/custo relacionada a venda do leite</t>
  </si>
  <si>
    <t>Painel de controle</t>
  </si>
  <si>
    <t>itens</t>
  </si>
  <si>
    <t>Mês</t>
  </si>
  <si>
    <t>Principais gastos da propriedade</t>
  </si>
  <si>
    <t>Dados Gerais</t>
  </si>
  <si>
    <t>Itens do custo</t>
  </si>
  <si>
    <t>Custo de produlção do leite</t>
  </si>
  <si>
    <t>Preço do leite pago ao produtor</t>
  </si>
  <si>
    <t>Saldo (Custo - Preço)</t>
  </si>
  <si>
    <t>*Valor corrente dos animais*</t>
  </si>
  <si>
    <t>Custo de produção da pecuária de leite</t>
  </si>
  <si>
    <t>Essa ferramenta foi desenvolvida com o intuito de ajudar o produtor a calcular o custo da produção da atividade leitera</t>
  </si>
  <si>
    <t>*Ao preencher a planilha, adicione valores apenas nos espaços em branco</t>
  </si>
  <si>
    <t>Fonte: Imea</t>
  </si>
  <si>
    <t>Fluxo de caixa (clique aqui)</t>
  </si>
  <si>
    <t>Cadastro (clique aqui)</t>
  </si>
  <si>
    <t>Venda de animais</t>
  </si>
  <si>
    <t>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</si>
</sst>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* #,##0.00_-;\-&quot;R$&quot;* #,##0.00_-;_-&quot;R$&quot;* &quot;-&quot;??_-;_-@_-"/>
    <numFmt numFmtId="166" formatCode="_-[$R$-416]\ * #,##0.00_-;\-[$R$-416]\ * #,##0.00_-;_-[$R$-416]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830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9">
    <xf numFmtId="0" fontId="0" fillId="0" borderId="0" xfId="0"/>
    <xf numFmtId="164" fontId="5" fillId="0" borderId="7" xfId="3" applyNumberFormat="1" applyFont="1" applyFill="1" applyBorder="1" applyAlignment="1">
      <alignment horizontal="center" vertical="center"/>
    </xf>
    <xf numFmtId="164" fontId="5" fillId="0" borderId="8" xfId="3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9" fontId="3" fillId="0" borderId="0" xfId="1" applyFont="1" applyAlignment="1">
      <alignment horizontal="center"/>
    </xf>
    <xf numFmtId="43" fontId="0" fillId="0" borderId="0" xfId="4" applyFont="1"/>
    <xf numFmtId="9" fontId="0" fillId="0" borderId="0" xfId="1" applyFont="1" applyAlignment="1">
      <alignment horizontal="center"/>
    </xf>
    <xf numFmtId="0" fontId="3" fillId="0" borderId="0" xfId="0" applyFont="1" applyBorder="1" applyAlignment="1"/>
    <xf numFmtId="164" fontId="3" fillId="0" borderId="0" xfId="4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/>
    <xf numFmtId="0" fontId="7" fillId="0" borderId="0" xfId="0" applyFont="1" applyFill="1" applyBorder="1"/>
    <xf numFmtId="0" fontId="3" fillId="0" borderId="0" xfId="0" applyFont="1" applyFill="1" applyBorder="1"/>
    <xf numFmtId="43" fontId="3" fillId="0" borderId="0" xfId="4" applyFont="1" applyFill="1" applyBorder="1"/>
    <xf numFmtId="0" fontId="3" fillId="0" borderId="47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 wrapText="1"/>
    </xf>
    <xf numFmtId="0" fontId="3" fillId="0" borderId="46" xfId="0" applyFont="1" applyFill="1" applyBorder="1" applyAlignment="1"/>
    <xf numFmtId="0" fontId="3" fillId="0" borderId="44" xfId="0" applyFont="1" applyFill="1" applyBorder="1" applyAlignment="1"/>
    <xf numFmtId="10" fontId="3" fillId="0" borderId="44" xfId="1" applyNumberFormat="1" applyFont="1" applyFill="1" applyBorder="1" applyAlignment="1"/>
    <xf numFmtId="2" fontId="3" fillId="0" borderId="44" xfId="0" applyNumberFormat="1" applyFont="1" applyFill="1" applyBorder="1" applyAlignment="1"/>
    <xf numFmtId="2" fontId="3" fillId="0" borderId="45" xfId="0" applyNumberFormat="1" applyFont="1" applyFill="1" applyBorder="1" applyAlignment="1"/>
    <xf numFmtId="0" fontId="3" fillId="0" borderId="45" xfId="0" applyFont="1" applyFill="1" applyBorder="1" applyAlignment="1"/>
    <xf numFmtId="0" fontId="3" fillId="0" borderId="50" xfId="0" applyFont="1" applyFill="1" applyBorder="1" applyAlignment="1"/>
    <xf numFmtId="0" fontId="3" fillId="0" borderId="51" xfId="0" applyFont="1" applyFill="1" applyBorder="1" applyAlignment="1"/>
    <xf numFmtId="10" fontId="3" fillId="0" borderId="51" xfId="1" applyNumberFormat="1" applyFont="1" applyFill="1" applyBorder="1" applyAlignment="1"/>
    <xf numFmtId="2" fontId="3" fillId="0" borderId="51" xfId="0" applyNumberFormat="1" applyFont="1" applyFill="1" applyBorder="1" applyAlignment="1"/>
    <xf numFmtId="2" fontId="3" fillId="0" borderId="52" xfId="0" applyNumberFormat="1" applyFont="1" applyFill="1" applyBorder="1" applyAlignment="1"/>
    <xf numFmtId="9" fontId="3" fillId="0" borderId="0" xfId="1" applyFont="1" applyFill="1"/>
    <xf numFmtId="0" fontId="12" fillId="7" borderId="0" xfId="0" applyFont="1" applyFill="1" applyAlignment="1">
      <alignment shrinkToFit="1"/>
    </xf>
    <xf numFmtId="2" fontId="10" fillId="7" borderId="44" xfId="0" applyNumberFormat="1" applyFont="1" applyFill="1" applyBorder="1" applyAlignment="1"/>
    <xf numFmtId="43" fontId="10" fillId="7" borderId="44" xfId="4" applyFont="1" applyFill="1" applyBorder="1" applyAlignment="1"/>
    <xf numFmtId="10" fontId="11" fillId="7" borderId="44" xfId="1" applyNumberFormat="1" applyFont="1" applyFill="1" applyBorder="1" applyAlignment="1"/>
    <xf numFmtId="2" fontId="13" fillId="7" borderId="0" xfId="0" applyNumberFormat="1" applyFont="1" applyFill="1" applyAlignment="1">
      <alignment vertical="center"/>
    </xf>
    <xf numFmtId="2" fontId="10" fillId="7" borderId="45" xfId="0" applyNumberFormat="1" applyFont="1" applyFill="1" applyBorder="1" applyAlignment="1">
      <alignment shrinkToFit="1"/>
    </xf>
    <xf numFmtId="2" fontId="10" fillId="7" borderId="46" xfId="0" applyNumberFormat="1" applyFont="1" applyFill="1" applyBorder="1" applyAlignment="1">
      <alignment shrinkToFit="1"/>
    </xf>
    <xf numFmtId="2" fontId="10" fillId="7" borderId="44" xfId="0" applyNumberFormat="1" applyFont="1" applyFill="1" applyBorder="1" applyAlignment="1">
      <alignment shrinkToFit="1"/>
    </xf>
    <xf numFmtId="10" fontId="11" fillId="7" borderId="45" xfId="1" applyNumberFormat="1" applyFont="1" applyFill="1" applyBorder="1" applyAlignment="1"/>
    <xf numFmtId="2" fontId="10" fillId="7" borderId="52" xfId="0" applyNumberFormat="1" applyFont="1" applyFill="1" applyBorder="1" applyAlignment="1">
      <alignment vertical="center"/>
    </xf>
    <xf numFmtId="10" fontId="10" fillId="7" borderId="52" xfId="1" applyNumberFormat="1" applyFont="1" applyFill="1" applyBorder="1" applyAlignment="1">
      <alignment vertical="center"/>
    </xf>
    <xf numFmtId="2" fontId="10" fillId="7" borderId="49" xfId="0" applyNumberFormat="1" applyFont="1" applyFill="1" applyBorder="1" applyAlignment="1">
      <alignment vertical="center"/>
    </xf>
    <xf numFmtId="10" fontId="10" fillId="7" borderId="49" xfId="1" applyNumberFormat="1" applyFont="1" applyFill="1" applyBorder="1" applyAlignment="1">
      <alignment vertical="center"/>
    </xf>
    <xf numFmtId="2" fontId="10" fillId="7" borderId="44" xfId="0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right" vertical="center"/>
    </xf>
    <xf numFmtId="9" fontId="0" fillId="4" borderId="1" xfId="1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0" fillId="0" borderId="0" xfId="0" applyFill="1" applyProtection="1">
      <protection locked="0" hidden="1"/>
    </xf>
    <xf numFmtId="0" fontId="0" fillId="0" borderId="0" xfId="0" applyBorder="1" applyProtection="1">
      <protection locked="0" hidden="1"/>
    </xf>
    <xf numFmtId="0" fontId="0" fillId="6" borderId="9" xfId="0" applyFill="1" applyBorder="1" applyProtection="1">
      <protection locked="0" hidden="1"/>
    </xf>
    <xf numFmtId="0" fontId="0" fillId="6" borderId="10" xfId="0" applyFill="1" applyBorder="1" applyProtection="1">
      <protection locked="0" hidden="1"/>
    </xf>
    <xf numFmtId="0" fontId="0" fillId="6" borderId="11" xfId="0" applyFill="1" applyBorder="1" applyProtection="1">
      <protection locked="0" hidden="1"/>
    </xf>
    <xf numFmtId="0" fontId="0" fillId="6" borderId="9" xfId="0" applyFill="1" applyBorder="1" applyAlignment="1" applyProtection="1">
      <protection locked="0" hidden="1"/>
    </xf>
    <xf numFmtId="0" fontId="0" fillId="6" borderId="10" xfId="0" applyFill="1" applyBorder="1" applyAlignment="1" applyProtection="1">
      <protection locked="0" hidden="1"/>
    </xf>
    <xf numFmtId="0" fontId="0" fillId="6" borderId="12" xfId="0" applyFill="1" applyBorder="1" applyProtection="1">
      <protection locked="0" hidden="1"/>
    </xf>
    <xf numFmtId="0" fontId="0" fillId="0" borderId="60" xfId="0" applyBorder="1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6" borderId="13" xfId="0" applyFill="1" applyBorder="1" applyProtection="1">
      <protection locked="0" hidden="1"/>
    </xf>
    <xf numFmtId="0" fontId="2" fillId="6" borderId="0" xfId="0" applyFont="1" applyFill="1" applyBorder="1" applyAlignment="1" applyProtection="1">
      <protection locked="0" hidden="1"/>
    </xf>
    <xf numFmtId="0" fontId="2" fillId="6" borderId="13" xfId="0" applyFont="1" applyFill="1" applyBorder="1" applyAlignment="1" applyProtection="1">
      <protection locked="0" hidden="1"/>
    </xf>
    <xf numFmtId="0" fontId="0" fillId="0" borderId="30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2" fillId="6" borderId="0" xfId="0" applyFont="1" applyFill="1" applyBorder="1" applyAlignment="1" applyProtection="1">
      <alignment horizontal="center"/>
      <protection locked="0" hidden="1"/>
    </xf>
    <xf numFmtId="0" fontId="2" fillId="6" borderId="13" xfId="0" applyFont="1" applyFill="1" applyBorder="1" applyAlignment="1" applyProtection="1">
      <alignment horizontal="center"/>
      <protection locked="0" hidden="1"/>
    </xf>
    <xf numFmtId="0" fontId="2" fillId="5" borderId="31" xfId="0" applyFont="1" applyFill="1" applyBorder="1" applyAlignment="1" applyProtection="1">
      <alignment horizontal="center"/>
      <protection locked="0" hidden="1"/>
    </xf>
    <xf numFmtId="0" fontId="0" fillId="4" borderId="22" xfId="0" applyFill="1" applyBorder="1" applyProtection="1">
      <protection locked="0" hidden="1"/>
    </xf>
    <xf numFmtId="9" fontId="0" fillId="0" borderId="67" xfId="1" applyFont="1" applyFill="1" applyBorder="1" applyAlignment="1" applyProtection="1">
      <alignment horizontal="center"/>
      <protection locked="0" hidden="1"/>
    </xf>
    <xf numFmtId="44" fontId="0" fillId="0" borderId="1" xfId="5" applyFont="1" applyFill="1" applyBorder="1" applyProtection="1">
      <protection locked="0" hidden="1"/>
    </xf>
    <xf numFmtId="44" fontId="0" fillId="6" borderId="0" xfId="5" applyFont="1" applyFill="1" applyBorder="1" applyProtection="1">
      <protection locked="0" hidden="1"/>
    </xf>
    <xf numFmtId="0" fontId="0" fillId="0" borderId="26" xfId="0" applyBorder="1" applyProtection="1">
      <protection locked="0" hidden="1"/>
    </xf>
    <xf numFmtId="0" fontId="0" fillId="0" borderId="1" xfId="0" applyBorder="1" applyProtection="1">
      <protection locked="0" hidden="1"/>
    </xf>
    <xf numFmtId="44" fontId="0" fillId="0" borderId="1" xfId="0" applyNumberFormat="1" applyBorder="1" applyProtection="1">
      <protection locked="0" hidden="1"/>
    </xf>
    <xf numFmtId="9" fontId="0" fillId="0" borderId="1" xfId="1" applyFont="1" applyBorder="1" applyProtection="1">
      <protection locked="0" hidden="1"/>
    </xf>
    <xf numFmtId="43" fontId="0" fillId="0" borderId="1" xfId="4" applyFont="1" applyBorder="1" applyProtection="1">
      <protection locked="0" hidden="1"/>
    </xf>
    <xf numFmtId="44" fontId="0" fillId="0" borderId="3" xfId="0" applyNumberFormat="1" applyBorder="1" applyAlignment="1" applyProtection="1">
      <alignment horizontal="center"/>
      <protection locked="0" hidden="1"/>
    </xf>
    <xf numFmtId="9" fontId="0" fillId="0" borderId="1" xfId="1" applyFont="1" applyBorder="1" applyAlignment="1" applyProtection="1">
      <alignment horizontal="center"/>
      <protection locked="0" hidden="1"/>
    </xf>
    <xf numFmtId="43" fontId="0" fillId="0" borderId="1" xfId="4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17" xfId="0" applyBorder="1" applyProtection="1">
      <protection locked="0" hidden="1"/>
    </xf>
    <xf numFmtId="0" fontId="0" fillId="0" borderId="61" xfId="0" applyBorder="1" applyProtection="1">
      <protection locked="0" hidden="1"/>
    </xf>
    <xf numFmtId="0" fontId="0" fillId="0" borderId="22" xfId="0" applyBorder="1" applyAlignment="1" applyProtection="1">
      <alignment horizontal="left"/>
      <protection locked="0" hidden="1"/>
    </xf>
    <xf numFmtId="44" fontId="0" fillId="0" borderId="68" xfId="5" applyFont="1" applyFill="1" applyBorder="1" applyProtection="1">
      <protection locked="0" hidden="1"/>
    </xf>
    <xf numFmtId="0" fontId="2" fillId="5" borderId="24" xfId="0" applyFont="1" applyFill="1" applyBorder="1" applyAlignment="1" applyProtection="1">
      <alignment horizontal="center"/>
      <protection locked="0" hidden="1"/>
    </xf>
    <xf numFmtId="0" fontId="2" fillId="5" borderId="25" xfId="0" applyFont="1" applyFill="1" applyBorder="1" applyAlignment="1" applyProtection="1">
      <alignment horizontal="center"/>
      <protection locked="0" hidden="1"/>
    </xf>
    <xf numFmtId="0" fontId="0" fillId="0" borderId="1" xfId="0" applyFill="1" applyBorder="1" applyAlignment="1" applyProtection="1">
      <alignment horizontal="center"/>
      <protection locked="0" hidden="1"/>
    </xf>
    <xf numFmtId="0" fontId="0" fillId="0" borderId="22" xfId="0" applyBorder="1" applyAlignment="1" applyProtection="1">
      <alignment horizontal="center"/>
      <protection locked="0" hidden="1"/>
    </xf>
    <xf numFmtId="0" fontId="0" fillId="4" borderId="27" xfId="0" applyFill="1" applyBorder="1" applyAlignment="1" applyProtection="1">
      <alignment horizontal="center"/>
      <protection locked="0" hidden="1"/>
    </xf>
    <xf numFmtId="44" fontId="0" fillId="0" borderId="1" xfId="5" applyFont="1" applyFill="1" applyBorder="1" applyAlignment="1" applyProtection="1">
      <alignment horizontal="center"/>
      <protection locked="0" hidden="1"/>
    </xf>
    <xf numFmtId="44" fontId="0" fillId="0" borderId="22" xfId="5" applyFont="1" applyFill="1" applyBorder="1" applyAlignment="1" applyProtection="1">
      <alignment horizontal="center"/>
      <protection locked="0" hidden="1"/>
    </xf>
    <xf numFmtId="44" fontId="0" fillId="6" borderId="0" xfId="5" applyFont="1" applyFill="1" applyBorder="1" applyAlignment="1" applyProtection="1">
      <alignment horizontal="center"/>
      <protection locked="0" hidden="1"/>
    </xf>
    <xf numFmtId="166" fontId="0" fillId="6" borderId="0" xfId="0" applyNumberFormat="1" applyFill="1" applyBorder="1" applyAlignment="1" applyProtection="1">
      <alignment horizontal="center"/>
      <protection locked="0" hidden="1"/>
    </xf>
    <xf numFmtId="0" fontId="0" fillId="6" borderId="13" xfId="0" applyFill="1" applyBorder="1" applyAlignment="1" applyProtection="1">
      <alignment horizontal="center"/>
      <protection locked="0" hidden="1"/>
    </xf>
    <xf numFmtId="0" fontId="0" fillId="6" borderId="0" xfId="0" applyFill="1" applyBorder="1" applyAlignment="1" applyProtection="1">
      <alignment horizontal="center"/>
      <protection locked="0" hidden="1"/>
    </xf>
    <xf numFmtId="0" fontId="0" fillId="6" borderId="0" xfId="0" applyFill="1" applyBorder="1" applyAlignment="1" applyProtection="1">
      <protection locked="0" hidden="1"/>
    </xf>
    <xf numFmtId="0" fontId="0" fillId="6" borderId="0" xfId="0" applyFont="1" applyFill="1" applyBorder="1" applyAlignment="1" applyProtection="1">
      <protection locked="0" hidden="1"/>
    </xf>
    <xf numFmtId="0" fontId="0" fillId="6" borderId="13" xfId="0" applyFill="1" applyBorder="1" applyAlignment="1" applyProtection="1"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26" xfId="0" applyFill="1" applyBorder="1" applyProtection="1">
      <protection locked="0" hidden="1"/>
    </xf>
    <xf numFmtId="0" fontId="0" fillId="0" borderId="1" xfId="0" applyFill="1" applyBorder="1" applyAlignment="1" applyProtection="1">
      <protection locked="0" hidden="1"/>
    </xf>
    <xf numFmtId="0" fontId="0" fillId="0" borderId="27" xfId="0" applyFill="1" applyBorder="1" applyProtection="1">
      <protection locked="0" hidden="1"/>
    </xf>
    <xf numFmtId="0" fontId="0" fillId="0" borderId="28" xfId="0" applyBorder="1" applyProtection="1">
      <protection locked="0" hidden="1"/>
    </xf>
    <xf numFmtId="0" fontId="0" fillId="0" borderId="28" xfId="0" applyFill="1" applyBorder="1" applyAlignment="1" applyProtection="1">
      <protection locked="0" hidden="1"/>
    </xf>
    <xf numFmtId="0" fontId="0" fillId="6" borderId="0" xfId="0" applyFill="1" applyProtection="1">
      <protection locked="0" hidden="1"/>
    </xf>
    <xf numFmtId="9" fontId="0" fillId="6" borderId="0" xfId="1" applyFont="1" applyFill="1" applyBorder="1" applyAlignment="1" applyProtection="1">
      <alignment horizontal="center"/>
      <protection locked="0" hidden="1"/>
    </xf>
    <xf numFmtId="0" fontId="0" fillId="0" borderId="1" xfId="0" applyFill="1" applyBorder="1" applyProtection="1">
      <protection locked="0" hidden="1"/>
    </xf>
    <xf numFmtId="9" fontId="0" fillId="6" borderId="0" xfId="1" applyFont="1" applyFill="1" applyBorder="1" applyProtection="1">
      <protection locked="0" hidden="1"/>
    </xf>
    <xf numFmtId="9" fontId="0" fillId="0" borderId="17" xfId="1" applyFont="1" applyBorder="1" applyProtection="1">
      <protection locked="0" hidden="1"/>
    </xf>
    <xf numFmtId="44" fontId="0" fillId="0" borderId="1" xfId="0" applyNumberFormat="1" applyFill="1" applyBorder="1" applyProtection="1">
      <protection locked="0" hidden="1"/>
    </xf>
    <xf numFmtId="0" fontId="0" fillId="0" borderId="26" xfId="0" applyBorder="1" applyAlignment="1" applyProtection="1">
      <alignment horizontal="center"/>
      <protection locked="0" hidden="1"/>
    </xf>
    <xf numFmtId="44" fontId="0" fillId="0" borderId="2" xfId="5" applyFont="1" applyFill="1" applyBorder="1" applyAlignment="1" applyProtection="1">
      <alignment horizontal="center"/>
      <protection locked="0" hidden="1"/>
    </xf>
    <xf numFmtId="44" fontId="0" fillId="6" borderId="0" xfId="5" applyFont="1" applyFill="1" applyBorder="1" applyAlignment="1" applyProtection="1">
      <protection locked="0" hidden="1"/>
    </xf>
    <xf numFmtId="0" fontId="0" fillId="6" borderId="14" xfId="0" applyFill="1" applyBorder="1" applyProtection="1">
      <protection locked="0" hidden="1"/>
    </xf>
    <xf numFmtId="0" fontId="0" fillId="6" borderId="15" xfId="0" applyFill="1" applyBorder="1" applyProtection="1">
      <protection locked="0" hidden="1"/>
    </xf>
    <xf numFmtId="0" fontId="0" fillId="6" borderId="16" xfId="0" applyFill="1" applyBorder="1" applyProtection="1">
      <protection locked="0" hidden="1"/>
    </xf>
    <xf numFmtId="0" fontId="0" fillId="6" borderId="15" xfId="0" applyFill="1" applyBorder="1" applyAlignment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0" fillId="2" borderId="0" xfId="0" applyFill="1" applyBorder="1" applyProtection="1">
      <protection locked="0" hidden="1"/>
    </xf>
    <xf numFmtId="2" fontId="0" fillId="4" borderId="22" xfId="0" applyNumberFormat="1" applyFill="1" applyBorder="1" applyAlignment="1" applyProtection="1">
      <alignment horizontal="center"/>
      <protection hidden="1"/>
    </xf>
    <xf numFmtId="2" fontId="0" fillId="4" borderId="61" xfId="0" applyNumberFormat="1" applyFill="1" applyBorder="1" applyAlignment="1" applyProtection="1">
      <alignment horizontal="center"/>
      <protection hidden="1"/>
    </xf>
    <xf numFmtId="44" fontId="0" fillId="4" borderId="61" xfId="5" applyFont="1" applyFill="1" applyBorder="1" applyAlignment="1" applyProtection="1">
      <alignment horizontal="center"/>
      <protection hidden="1"/>
    </xf>
    <xf numFmtId="44" fontId="0" fillId="4" borderId="65" xfId="5" applyFont="1" applyFill="1" applyBorder="1" applyAlignment="1" applyProtection="1">
      <alignment horizontal="center"/>
      <protection hidden="1"/>
    </xf>
    <xf numFmtId="44" fontId="0" fillId="4" borderId="66" xfId="5" applyFont="1" applyFill="1" applyBorder="1" applyAlignment="1" applyProtection="1">
      <alignment horizontal="center"/>
      <protection hidden="1"/>
    </xf>
    <xf numFmtId="0" fontId="0" fillId="4" borderId="64" xfId="0" applyFill="1" applyBorder="1" applyAlignment="1" applyProtection="1">
      <alignment horizontal="center"/>
      <protection hidden="1"/>
    </xf>
    <xf numFmtId="44" fontId="0" fillId="4" borderId="67" xfId="5" applyFont="1" applyFill="1" applyBorder="1" applyAlignment="1" applyProtection="1">
      <alignment horizontal="center"/>
      <protection hidden="1"/>
    </xf>
    <xf numFmtId="44" fontId="0" fillId="4" borderId="68" xfId="5" applyFont="1" applyFill="1" applyBorder="1" applyAlignment="1" applyProtection="1">
      <alignment horizontal="center"/>
      <protection hidden="1"/>
    </xf>
    <xf numFmtId="166" fontId="0" fillId="4" borderId="64" xfId="0" applyNumberFormat="1" applyFill="1" applyBorder="1" applyAlignment="1" applyProtection="1">
      <alignment horizontal="center"/>
      <protection hidden="1"/>
    </xf>
    <xf numFmtId="0" fontId="0" fillId="4" borderId="29" xfId="0" applyFill="1" applyBorder="1" applyAlignment="1" applyProtection="1">
      <alignment horizontal="center"/>
      <protection hidden="1"/>
    </xf>
    <xf numFmtId="44" fontId="0" fillId="4" borderId="1" xfId="5" applyFont="1" applyFill="1" applyBorder="1" applyProtection="1">
      <protection hidden="1"/>
    </xf>
    <xf numFmtId="166" fontId="0" fillId="4" borderId="35" xfId="0" applyNumberFormat="1" applyFill="1" applyBorder="1" applyAlignment="1" applyProtection="1">
      <alignment horizontal="center"/>
      <protection hidden="1"/>
    </xf>
    <xf numFmtId="43" fontId="0" fillId="0" borderId="22" xfId="4" applyFont="1" applyBorder="1" applyAlignment="1" applyProtection="1">
      <alignment horizontal="center"/>
      <protection locked="0" hidden="1"/>
    </xf>
    <xf numFmtId="43" fontId="0" fillId="6" borderId="0" xfId="4" applyFont="1" applyFill="1" applyBorder="1" applyAlignment="1" applyProtection="1">
      <alignment horizontal="center"/>
      <protection locked="0" hidden="1"/>
    </xf>
    <xf numFmtId="43" fontId="0" fillId="0" borderId="3" xfId="4" applyNumberFormat="1" applyFont="1" applyBorder="1" applyAlignment="1" applyProtection="1">
      <alignment horizontal="center"/>
      <protection locked="0" hidden="1"/>
    </xf>
    <xf numFmtId="43" fontId="0" fillId="0" borderId="17" xfId="4" applyNumberFormat="1" applyFont="1" applyBorder="1" applyAlignment="1" applyProtection="1">
      <alignment horizontal="center"/>
      <protection locked="0" hidden="1"/>
    </xf>
    <xf numFmtId="0" fontId="0" fillId="0" borderId="26" xfId="0" applyFill="1" applyBorder="1" applyAlignment="1" applyProtection="1">
      <protection locked="0" hidden="1"/>
    </xf>
    <xf numFmtId="43" fontId="0" fillId="0" borderId="1" xfId="4" applyNumberFormat="1" applyFont="1" applyBorder="1" applyAlignment="1" applyProtection="1">
      <alignment horizontal="center"/>
      <protection locked="0" hidden="1"/>
    </xf>
    <xf numFmtId="43" fontId="0" fillId="0" borderId="28" xfId="4" applyNumberFormat="1" applyFont="1" applyBorder="1" applyAlignment="1" applyProtection="1">
      <alignment horizontal="center"/>
      <protection locked="0" hidden="1"/>
    </xf>
    <xf numFmtId="43" fontId="0" fillId="0" borderId="56" xfId="4" applyNumberFormat="1" applyFont="1" applyBorder="1" applyAlignment="1" applyProtection="1">
      <alignment horizontal="center"/>
      <protection locked="0" hidden="1"/>
    </xf>
    <xf numFmtId="164" fontId="0" fillId="0" borderId="22" xfId="4" applyNumberFormat="1" applyFont="1" applyBorder="1" applyAlignment="1" applyProtection="1">
      <alignment horizontal="center"/>
      <protection locked="0" hidden="1"/>
    </xf>
    <xf numFmtId="164" fontId="0" fillId="6" borderId="0" xfId="4" applyNumberFormat="1" applyFont="1" applyFill="1" applyBorder="1" applyAlignment="1" applyProtection="1">
      <alignment horizontal="center"/>
      <protection locked="0" hidden="1"/>
    </xf>
    <xf numFmtId="43" fontId="0" fillId="0" borderId="28" xfId="4" applyFont="1" applyBorder="1" applyAlignment="1" applyProtection="1">
      <alignment horizontal="center"/>
      <protection locked="0" hidden="1"/>
    </xf>
    <xf numFmtId="44" fontId="0" fillId="0" borderId="29" xfId="5" applyFont="1" applyFill="1" applyBorder="1" applyAlignment="1" applyProtection="1">
      <alignment horizontal="center"/>
      <protection locked="0" hidden="1"/>
    </xf>
    <xf numFmtId="44" fontId="2" fillId="0" borderId="2" xfId="5" applyFont="1" applyFill="1" applyBorder="1" applyAlignment="1" applyProtection="1">
      <protection locked="0" hidden="1"/>
    </xf>
    <xf numFmtId="0" fontId="2" fillId="0" borderId="2" xfId="0" applyFont="1" applyFill="1" applyBorder="1" applyAlignment="1" applyProtection="1">
      <alignment horizontal="center"/>
      <protection locked="0" hidden="1"/>
    </xf>
    <xf numFmtId="0" fontId="2" fillId="0" borderId="33" xfId="0" applyFont="1" applyFill="1" applyBorder="1" applyAlignment="1" applyProtection="1">
      <alignment horizontal="center"/>
      <protection locked="0" hidden="1"/>
    </xf>
    <xf numFmtId="0" fontId="0" fillId="0" borderId="29" xfId="0" applyBorder="1" applyProtection="1">
      <protection locked="0" hidden="1"/>
    </xf>
    <xf numFmtId="44" fontId="2" fillId="0" borderId="28" xfId="5" applyFont="1" applyFill="1" applyBorder="1" applyAlignment="1" applyProtection="1">
      <protection locked="0" hidden="1"/>
    </xf>
    <xf numFmtId="0" fontId="2" fillId="0" borderId="28" xfId="0" applyFont="1" applyFill="1" applyBorder="1" applyAlignment="1" applyProtection="1">
      <alignment horizontal="center"/>
      <protection locked="0" hidden="1"/>
    </xf>
    <xf numFmtId="0" fontId="2" fillId="0" borderId="29" xfId="0" applyFont="1" applyFill="1" applyBorder="1" applyAlignment="1" applyProtection="1">
      <alignment horizontal="center"/>
      <protection locked="0" hidden="1"/>
    </xf>
    <xf numFmtId="0" fontId="0" fillId="0" borderId="2" xfId="0" applyFont="1" applyFill="1" applyBorder="1" applyAlignment="1" applyProtection="1">
      <alignment horizontal="center"/>
      <protection locked="0" hidden="1"/>
    </xf>
    <xf numFmtId="44" fontId="0" fillId="6" borderId="13" xfId="5" applyFont="1" applyFill="1" applyBorder="1" applyAlignment="1" applyProtection="1">
      <protection locked="0" hidden="1"/>
    </xf>
    <xf numFmtId="43" fontId="0" fillId="6" borderId="0" xfId="0" applyNumberFormat="1" applyFill="1" applyBorder="1" applyProtection="1">
      <protection locked="0" hidden="1"/>
    </xf>
    <xf numFmtId="44" fontId="0" fillId="4" borderId="37" xfId="5" applyFont="1" applyFill="1" applyBorder="1" applyAlignment="1" applyProtection="1">
      <alignment horizontal="center"/>
      <protection hidden="1"/>
    </xf>
    <xf numFmtId="44" fontId="0" fillId="4" borderId="35" xfId="5" applyFont="1" applyFill="1" applyBorder="1" applyAlignment="1" applyProtection="1">
      <alignment horizontal="center"/>
      <protection hidden="1"/>
    </xf>
    <xf numFmtId="43" fontId="0" fillId="0" borderId="1" xfId="4" applyFont="1" applyFill="1" applyBorder="1" applyAlignment="1" applyProtection="1">
      <alignment horizontal="center"/>
      <protection locked="0" hidden="1"/>
    </xf>
    <xf numFmtId="43" fontId="0" fillId="0" borderId="2" xfId="4" applyFont="1" applyFill="1" applyBorder="1" applyAlignment="1" applyProtection="1">
      <alignment horizontal="center"/>
      <protection locked="0" hidden="1"/>
    </xf>
    <xf numFmtId="44" fontId="0" fillId="0" borderId="22" xfId="5" applyFont="1" applyFill="1" applyBorder="1" applyAlignment="1" applyProtection="1">
      <protection locked="0" hidden="1"/>
    </xf>
    <xf numFmtId="44" fontId="0" fillId="0" borderId="33" xfId="5" applyFont="1" applyFill="1" applyBorder="1" applyAlignment="1" applyProtection="1">
      <protection locked="0" hidden="1"/>
    </xf>
    <xf numFmtId="44" fontId="0" fillId="4" borderId="0" xfId="5" applyFont="1" applyFill="1" applyBorder="1" applyAlignment="1" applyProtection="1">
      <alignment horizontal="center"/>
      <protection hidden="1"/>
    </xf>
    <xf numFmtId="0" fontId="0" fillId="6" borderId="0" xfId="0" applyFont="1" applyFill="1" applyBorder="1" applyAlignment="1" applyProtection="1">
      <alignment horizontal="left"/>
      <protection locked="0" hidden="1"/>
    </xf>
    <xf numFmtId="44" fontId="0" fillId="4" borderId="15" xfId="5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9" fillId="6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8" fillId="6" borderId="0" xfId="0" applyFont="1" applyFill="1" applyBorder="1" applyAlignment="1" applyProtection="1">
      <protection locked="0" hidden="1"/>
    </xf>
    <xf numFmtId="0" fontId="9" fillId="6" borderId="0" xfId="0" applyFont="1" applyFill="1" applyBorder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Border="1" applyProtection="1">
      <protection locked="0" hidden="1"/>
    </xf>
    <xf numFmtId="44" fontId="3" fillId="0" borderId="0" xfId="0" applyNumberFormat="1" applyFont="1" applyFill="1" applyBorder="1" applyProtection="1">
      <protection locked="0" hidden="1"/>
    </xf>
    <xf numFmtId="0" fontId="3" fillId="0" borderId="0" xfId="0" applyFont="1" applyFill="1" applyBorder="1" applyProtection="1">
      <protection locked="0" hidden="1"/>
    </xf>
    <xf numFmtId="0" fontId="0" fillId="6" borderId="0" xfId="0" applyFill="1" applyBorder="1" applyAlignment="1" applyProtection="1">
      <alignment horizontal="center"/>
      <protection locked="0" hidden="1"/>
    </xf>
    <xf numFmtId="0" fontId="2" fillId="5" borderId="3" xfId="0" applyFont="1" applyFill="1" applyBorder="1" applyAlignment="1" applyProtection="1">
      <alignment horizontal="center"/>
      <protection locked="0" hidden="1"/>
    </xf>
    <xf numFmtId="0" fontId="0" fillId="0" borderId="1" xfId="0" applyFill="1" applyBorder="1" applyAlignment="1" applyProtection="1">
      <alignment horizontal="center"/>
      <protection locked="0" hidden="1"/>
    </xf>
    <xf numFmtId="0" fontId="0" fillId="4" borderId="65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2" fillId="5" borderId="38" xfId="0" applyFont="1" applyFill="1" applyBorder="1" applyAlignment="1" applyProtection="1">
      <alignment horizontal="center"/>
      <protection locked="0" hidden="1"/>
    </xf>
    <xf numFmtId="0" fontId="2" fillId="5" borderId="39" xfId="0" applyFont="1" applyFill="1" applyBorder="1" applyAlignment="1" applyProtection="1">
      <alignment horizontal="center"/>
      <protection locked="0" hidden="1"/>
    </xf>
    <xf numFmtId="0" fontId="2" fillId="5" borderId="63" xfId="0" applyFont="1" applyFill="1" applyBorder="1" applyAlignment="1" applyProtection="1">
      <alignment horizontal="center"/>
      <protection locked="0" hidden="1"/>
    </xf>
    <xf numFmtId="0" fontId="2" fillId="5" borderId="61" xfId="0" applyFont="1" applyFill="1" applyBorder="1" applyAlignment="1" applyProtection="1">
      <alignment horizontal="center"/>
      <protection locked="0" hidden="1"/>
    </xf>
    <xf numFmtId="44" fontId="0" fillId="4" borderId="0" xfId="5" applyFont="1" applyFill="1" applyBorder="1" applyAlignment="1" applyProtection="1">
      <alignment horizontal="center" vertical="center"/>
      <protection hidden="1"/>
    </xf>
    <xf numFmtId="44" fontId="0" fillId="4" borderId="13" xfId="5" applyFont="1" applyFill="1" applyBorder="1" applyAlignment="1" applyProtection="1">
      <alignment horizontal="center" vertical="center"/>
      <protection hidden="1"/>
    </xf>
    <xf numFmtId="0" fontId="0" fillId="0" borderId="13" xfId="0" applyFill="1" applyBorder="1" applyProtection="1">
      <protection locked="0" hidden="1"/>
    </xf>
    <xf numFmtId="0" fontId="0" fillId="0" borderId="16" xfId="0" applyFill="1" applyBorder="1" applyProtection="1">
      <protection locked="0" hidden="1"/>
    </xf>
    <xf numFmtId="0" fontId="0" fillId="0" borderId="12" xfId="0" applyFill="1" applyBorder="1" applyProtection="1">
      <protection locked="0" hidden="1"/>
    </xf>
    <xf numFmtId="0" fontId="0" fillId="0" borderId="14" xfId="0" applyFill="1" applyBorder="1" applyProtection="1">
      <protection locked="0" hidden="1"/>
    </xf>
    <xf numFmtId="0" fontId="0" fillId="0" borderId="15" xfId="0" applyFill="1" applyBorder="1" applyProtection="1">
      <protection locked="0" hidden="1"/>
    </xf>
    <xf numFmtId="0" fontId="0" fillId="6" borderId="0" xfId="0" applyFill="1" applyBorder="1" applyAlignment="1" applyProtection="1">
      <alignment vertical="center" wrapText="1"/>
      <protection locked="0" hidden="1"/>
    </xf>
    <xf numFmtId="10" fontId="0" fillId="6" borderId="0" xfId="1" applyNumberFormat="1" applyFont="1" applyFill="1" applyBorder="1" applyAlignment="1" applyProtection="1">
      <alignment vertical="center"/>
      <protection hidden="1"/>
    </xf>
    <xf numFmtId="0" fontId="8" fillId="6" borderId="0" xfId="0" applyFont="1" applyFill="1" applyBorder="1" applyAlignment="1" applyProtection="1">
      <alignment horizontal="center"/>
      <protection locked="0" hidden="1"/>
    </xf>
    <xf numFmtId="0" fontId="0" fillId="0" borderId="9" xfId="0" applyFill="1" applyBorder="1" applyProtection="1">
      <protection locked="0" hidden="1"/>
    </xf>
    <xf numFmtId="0" fontId="0" fillId="0" borderId="10" xfId="0" applyFill="1" applyBorder="1" applyProtection="1">
      <protection locked="0" hidden="1"/>
    </xf>
    <xf numFmtId="0" fontId="0" fillId="0" borderId="11" xfId="0" applyFill="1" applyBorder="1" applyProtection="1">
      <protection locked="0" hidden="1"/>
    </xf>
    <xf numFmtId="0" fontId="0" fillId="4" borderId="64" xfId="0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locked="0" hidden="1"/>
    </xf>
    <xf numFmtId="0" fontId="2" fillId="0" borderId="55" xfId="0" applyFont="1" applyFill="1" applyBorder="1" applyAlignment="1" applyProtection="1">
      <protection locked="0" hidden="1"/>
    </xf>
    <xf numFmtId="0" fontId="2" fillId="0" borderId="27" xfId="0" applyFont="1" applyFill="1" applyBorder="1" applyAlignment="1" applyProtection="1">
      <protection locked="0" hidden="1"/>
    </xf>
    <xf numFmtId="44" fontId="0" fillId="4" borderId="28" xfId="5" applyFont="1" applyFill="1" applyBorder="1" applyProtection="1">
      <protection hidden="1"/>
    </xf>
    <xf numFmtId="0" fontId="0" fillId="0" borderId="33" xfId="0" applyFont="1" applyFill="1" applyBorder="1" applyAlignment="1" applyProtection="1">
      <alignment horizontal="center"/>
      <protection locked="0" hidden="1"/>
    </xf>
    <xf numFmtId="0" fontId="0" fillId="0" borderId="28" xfId="0" applyFont="1" applyFill="1" applyBorder="1" applyAlignment="1" applyProtection="1">
      <alignment horizontal="center"/>
      <protection locked="0" hidden="1"/>
    </xf>
    <xf numFmtId="0" fontId="0" fillId="0" borderId="29" xfId="0" applyFont="1" applyFill="1" applyBorder="1" applyAlignment="1" applyProtection="1">
      <alignment horizontal="center"/>
      <protection locked="0" hidden="1"/>
    </xf>
    <xf numFmtId="44" fontId="0" fillId="0" borderId="22" xfId="0" applyNumberFormat="1" applyBorder="1" applyProtection="1">
      <protection locked="0" hidden="1"/>
    </xf>
    <xf numFmtId="44" fontId="0" fillId="0" borderId="28" xfId="0" applyNumberFormat="1" applyBorder="1" applyProtection="1">
      <protection locked="0" hidden="1"/>
    </xf>
    <xf numFmtId="9" fontId="0" fillId="0" borderId="28" xfId="1" applyFont="1" applyBorder="1" applyProtection="1">
      <protection locked="0" hidden="1"/>
    </xf>
    <xf numFmtId="43" fontId="0" fillId="0" borderId="28" xfId="4" applyFont="1" applyBorder="1" applyProtection="1">
      <protection locked="0" hidden="1"/>
    </xf>
    <xf numFmtId="44" fontId="0" fillId="0" borderId="29" xfId="0" applyNumberFormat="1" applyBorder="1" applyProtection="1">
      <protection locked="0" hidden="1"/>
    </xf>
    <xf numFmtId="44" fontId="0" fillId="0" borderId="66" xfId="0" applyNumberFormat="1" applyFill="1" applyBorder="1" applyAlignment="1" applyProtection="1">
      <alignment horizontal="center"/>
      <protection locked="0" hidden="1"/>
    </xf>
    <xf numFmtId="44" fontId="0" fillId="0" borderId="64" xfId="0" applyNumberFormat="1" applyFill="1" applyBorder="1" applyAlignment="1" applyProtection="1">
      <alignment horizontal="center"/>
      <protection locked="0" hidden="1"/>
    </xf>
    <xf numFmtId="44" fontId="0" fillId="0" borderId="63" xfId="0" applyNumberFormat="1" applyFill="1" applyBorder="1" applyAlignment="1" applyProtection="1">
      <alignment horizontal="center"/>
      <protection locked="0" hidden="1"/>
    </xf>
    <xf numFmtId="44" fontId="0" fillId="0" borderId="66" xfId="0" applyNumberFormat="1" applyBorder="1" applyProtection="1">
      <protection locked="0" hidden="1"/>
    </xf>
    <xf numFmtId="44" fontId="0" fillId="0" borderId="77" xfId="0" applyNumberFormat="1" applyBorder="1" applyProtection="1">
      <protection locked="0" hidden="1"/>
    </xf>
    <xf numFmtId="44" fontId="0" fillId="0" borderId="78" xfId="0" applyNumberFormat="1" applyBorder="1" applyProtection="1">
      <protection locked="0" hidden="1"/>
    </xf>
    <xf numFmtId="44" fontId="0" fillId="0" borderId="16" xfId="0" applyNumberFormat="1" applyBorder="1" applyProtection="1">
      <protection locked="0" hidden="1"/>
    </xf>
    <xf numFmtId="44" fontId="0" fillId="0" borderId="79" xfId="0" applyNumberFormat="1" applyBorder="1" applyAlignment="1" applyProtection="1">
      <alignment horizontal="center"/>
      <protection locked="0" hidden="1"/>
    </xf>
    <xf numFmtId="9" fontId="0" fillId="0" borderId="28" xfId="1" applyFont="1" applyBorder="1" applyAlignment="1" applyProtection="1">
      <alignment horizontal="center"/>
      <protection locked="0" hidden="1"/>
    </xf>
    <xf numFmtId="0" fontId="0" fillId="0" borderId="28" xfId="0" applyBorder="1" applyAlignment="1" applyProtection="1">
      <alignment horizontal="center"/>
      <protection locked="0" hidden="1"/>
    </xf>
    <xf numFmtId="0" fontId="0" fillId="0" borderId="66" xfId="0" applyBorder="1" applyProtection="1">
      <protection locked="0" hidden="1"/>
    </xf>
    <xf numFmtId="166" fontId="0" fillId="0" borderId="64" xfId="0" applyNumberFormat="1" applyBorder="1" applyProtection="1">
      <protection locked="0" hidden="1"/>
    </xf>
    <xf numFmtId="166" fontId="0" fillId="0" borderId="63" xfId="0" applyNumberFormat="1" applyBorder="1" applyProtection="1">
      <protection locked="0" hidden="1"/>
    </xf>
    <xf numFmtId="0" fontId="0" fillId="0" borderId="66" xfId="0" applyFill="1" applyBorder="1" applyAlignment="1" applyProtection="1">
      <alignment horizontal="center"/>
      <protection locked="0" hidden="1"/>
    </xf>
    <xf numFmtId="44" fontId="0" fillId="0" borderId="64" xfId="5" applyFont="1" applyFill="1" applyBorder="1" applyAlignment="1" applyProtection="1">
      <alignment horizontal="center"/>
      <protection locked="0" hidden="1"/>
    </xf>
    <xf numFmtId="9" fontId="0" fillId="0" borderId="56" xfId="1" applyFont="1" applyBorder="1" applyProtection="1">
      <protection locked="0" hidden="1"/>
    </xf>
    <xf numFmtId="0" fontId="0" fillId="0" borderId="28" xfId="0" applyFill="1" applyBorder="1" applyProtection="1">
      <protection locked="0" hidden="1"/>
    </xf>
    <xf numFmtId="44" fontId="0" fillId="0" borderId="28" xfId="0" applyNumberFormat="1" applyFill="1" applyBorder="1" applyProtection="1">
      <protection locked="0" hidden="1"/>
    </xf>
    <xf numFmtId="44" fontId="0" fillId="0" borderId="22" xfId="5" applyFont="1" applyBorder="1" applyProtection="1">
      <protection locked="0" hidden="1"/>
    </xf>
    <xf numFmtId="44" fontId="0" fillId="0" borderId="29" xfId="5" applyFont="1" applyBorder="1" applyProtection="1">
      <protection locked="0" hidden="1"/>
    </xf>
    <xf numFmtId="44" fontId="0" fillId="0" borderId="63" xfId="5" applyFont="1" applyBorder="1" applyProtection="1">
      <protection locked="0" hidden="1"/>
    </xf>
    <xf numFmtId="44" fontId="0" fillId="0" borderId="66" xfId="5" applyFont="1" applyBorder="1" applyProtection="1">
      <protection locked="0" hidden="1"/>
    </xf>
    <xf numFmtId="44" fontId="0" fillId="0" borderId="1" xfId="5" applyFont="1" applyBorder="1" applyProtection="1">
      <protection locked="0" hidden="1"/>
    </xf>
    <xf numFmtId="44" fontId="0" fillId="0" borderId="28" xfId="5" applyFont="1" applyBorder="1" applyProtection="1">
      <protection locked="0" hidden="1"/>
    </xf>
    <xf numFmtId="43" fontId="0" fillId="4" borderId="66" xfId="4" applyFont="1" applyFill="1" applyBorder="1" applyAlignment="1" applyProtection="1">
      <alignment horizontal="center"/>
      <protection hidden="1"/>
    </xf>
    <xf numFmtId="44" fontId="0" fillId="0" borderId="29" xfId="5" applyFont="1" applyFill="1" applyBorder="1" applyAlignment="1" applyProtection="1">
      <protection locked="0" hidden="1"/>
    </xf>
    <xf numFmtId="44" fontId="0" fillId="4" borderId="3" xfId="5" applyFont="1" applyFill="1" applyBorder="1" applyProtection="1">
      <protection hidden="1"/>
    </xf>
    <xf numFmtId="43" fontId="0" fillId="0" borderId="31" xfId="4" applyNumberFormat="1" applyFont="1" applyBorder="1" applyAlignment="1" applyProtection="1">
      <alignment horizontal="center"/>
      <protection locked="0" hidden="1"/>
    </xf>
    <xf numFmtId="0" fontId="2" fillId="5" borderId="35" xfId="0" applyFont="1" applyFill="1" applyBorder="1" applyAlignment="1" applyProtection="1">
      <alignment horizontal="center"/>
      <protection locked="0" hidden="1"/>
    </xf>
    <xf numFmtId="0" fontId="2" fillId="0" borderId="54" xfId="0" applyFont="1" applyFill="1" applyBorder="1" applyAlignment="1" applyProtection="1">
      <protection locked="0" hidden="1"/>
    </xf>
    <xf numFmtId="44" fontId="2" fillId="0" borderId="3" xfId="5" applyFont="1" applyFill="1" applyBorder="1" applyAlignment="1" applyProtection="1">
      <protection locked="0" hidden="1"/>
    </xf>
    <xf numFmtId="0" fontId="2" fillId="0" borderId="3" xfId="0" applyFont="1" applyFill="1" applyBorder="1" applyAlignment="1" applyProtection="1">
      <alignment horizontal="center"/>
      <protection locked="0" hidden="1"/>
    </xf>
    <xf numFmtId="0" fontId="2" fillId="0" borderId="61" xfId="0" applyFont="1" applyFill="1" applyBorder="1" applyAlignment="1" applyProtection="1">
      <alignment horizontal="center"/>
      <protection locked="0" hidden="1"/>
    </xf>
    <xf numFmtId="164" fontId="0" fillId="0" borderId="61" xfId="4" applyNumberFormat="1" applyFont="1" applyBorder="1" applyAlignment="1" applyProtection="1">
      <alignment horizontal="center"/>
      <protection locked="0" hidden="1"/>
    </xf>
    <xf numFmtId="43" fontId="0" fillId="0" borderId="61" xfId="4" applyFont="1" applyBorder="1" applyProtection="1">
      <protection locked="0" hidden="1"/>
    </xf>
    <xf numFmtId="0" fontId="0" fillId="0" borderId="74" xfId="0" applyFont="1" applyFill="1" applyBorder="1" applyAlignment="1" applyProtection="1">
      <alignment horizontal="center"/>
      <protection locked="0" hidden="1"/>
    </xf>
    <xf numFmtId="0" fontId="0" fillId="0" borderId="80" xfId="0" applyFont="1" applyFill="1" applyBorder="1" applyAlignment="1" applyProtection="1">
      <alignment horizontal="center"/>
      <protection locked="0" hidden="1"/>
    </xf>
    <xf numFmtId="44" fontId="0" fillId="0" borderId="3" xfId="5" applyFont="1" applyFill="1" applyBorder="1" applyProtection="1">
      <protection locked="0" hidden="1"/>
    </xf>
    <xf numFmtId="44" fontId="0" fillId="0" borderId="61" xfId="5" applyFont="1" applyFill="1" applyBorder="1" applyAlignment="1" applyProtection="1">
      <protection locked="0" hidden="1"/>
    </xf>
    <xf numFmtId="0" fontId="0" fillId="0" borderId="54" xfId="0" applyFill="1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13" xfId="0" applyBorder="1" applyAlignment="1" applyProtection="1">
      <protection locked="0" hidden="1"/>
    </xf>
    <xf numFmtId="0" fontId="8" fillId="6" borderId="15" xfId="0" applyFont="1" applyFill="1" applyBorder="1" applyAlignment="1" applyProtection="1">
      <alignment horizontal="center"/>
      <protection locked="0" hidden="1"/>
    </xf>
    <xf numFmtId="0" fontId="16" fillId="6" borderId="0" xfId="0" applyFont="1" applyFill="1" applyBorder="1" applyAlignment="1" applyProtection="1">
      <alignment horizontal="center"/>
      <protection locked="0" hidden="1"/>
    </xf>
    <xf numFmtId="44" fontId="0" fillId="4" borderId="35" xfId="5" applyFont="1" applyFill="1" applyBorder="1" applyAlignment="1" applyProtection="1">
      <alignment horizontal="center" vertical="center"/>
      <protection hidden="1"/>
    </xf>
    <xf numFmtId="44" fontId="0" fillId="4" borderId="37" xfId="5" applyFont="1" applyFill="1" applyBorder="1" applyAlignment="1" applyProtection="1">
      <alignment horizontal="center" vertical="center"/>
      <protection hidden="1"/>
    </xf>
    <xf numFmtId="44" fontId="0" fillId="4" borderId="13" xfId="5" applyNumberFormat="1" applyFont="1" applyFill="1" applyBorder="1" applyAlignment="1" applyProtection="1">
      <alignment horizontal="center" vertical="center"/>
      <protection hidden="1"/>
    </xf>
    <xf numFmtId="44" fontId="0" fillId="4" borderId="37" xfId="5" applyNumberFormat="1" applyFon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locked="0" hidden="1"/>
    </xf>
    <xf numFmtId="0" fontId="17" fillId="0" borderId="0" xfId="0" applyFont="1" applyFill="1" applyBorder="1" applyProtection="1">
      <protection locked="0" hidden="1"/>
    </xf>
    <xf numFmtId="0" fontId="18" fillId="0" borderId="0" xfId="0" applyFont="1" applyFill="1" applyBorder="1" applyProtection="1">
      <protection locked="0" hidden="1"/>
    </xf>
    <xf numFmtId="0" fontId="17" fillId="0" borderId="0" xfId="0" applyFont="1" applyFill="1" applyBorder="1" applyAlignment="1" applyProtection="1">
      <alignment horizontal="left"/>
      <protection locked="0" hidden="1"/>
    </xf>
    <xf numFmtId="0" fontId="18" fillId="0" borderId="0" xfId="0" applyFont="1" applyFill="1" applyBorder="1" applyAlignment="1" applyProtection="1">
      <alignment horizontal="left"/>
      <protection locked="0" hidden="1"/>
    </xf>
    <xf numFmtId="44" fontId="18" fillId="0" borderId="0" xfId="5" applyNumberFormat="1" applyFont="1" applyFill="1" applyBorder="1" applyProtection="1">
      <protection locked="0" hidden="1"/>
    </xf>
    <xf numFmtId="44" fontId="18" fillId="0" borderId="0" xfId="0" applyNumberFormat="1" applyFont="1" applyFill="1" applyBorder="1" applyProtection="1">
      <protection locked="0" hidden="1"/>
    </xf>
    <xf numFmtId="44" fontId="0" fillId="0" borderId="35" xfId="5" applyFont="1" applyFill="1" applyBorder="1" applyProtection="1">
      <protection locked="0" hidden="1"/>
    </xf>
    <xf numFmtId="44" fontId="1" fillId="0" borderId="17" xfId="5" applyFont="1" applyFill="1" applyBorder="1" applyProtection="1">
      <protection locked="0" hidden="1"/>
    </xf>
    <xf numFmtId="44" fontId="0" fillId="4" borderId="71" xfId="5" applyFont="1" applyFill="1" applyBorder="1" applyAlignment="1" applyProtection="1">
      <alignment horizontal="center"/>
      <protection hidden="1"/>
    </xf>
    <xf numFmtId="0" fontId="18" fillId="6" borderId="0" xfId="0" applyFont="1" applyFill="1" applyBorder="1" applyProtection="1">
      <protection locked="0" hidden="1"/>
    </xf>
    <xf numFmtId="43" fontId="0" fillId="0" borderId="61" xfId="4" applyFont="1" applyBorder="1" applyAlignment="1" applyProtection="1">
      <alignment horizontal="center"/>
      <protection locked="0" hidden="1"/>
    </xf>
    <xf numFmtId="44" fontId="0" fillId="4" borderId="29" xfId="5" applyFont="1" applyFill="1" applyBorder="1" applyProtection="1">
      <protection locked="0" hidden="1"/>
    </xf>
    <xf numFmtId="164" fontId="0" fillId="0" borderId="33" xfId="4" applyNumberFormat="1" applyFont="1" applyBorder="1" applyAlignment="1" applyProtection="1">
      <alignment horizontal="center"/>
      <protection locked="0" hidden="1"/>
    </xf>
    <xf numFmtId="0" fontId="0" fillId="4" borderId="64" xfId="0" applyFill="1" applyBorder="1" applyAlignment="1" applyProtection="1">
      <alignment horizontal="center"/>
      <protection locked="0" hidden="1"/>
    </xf>
    <xf numFmtId="164" fontId="0" fillId="4" borderId="66" xfId="4" applyNumberFormat="1" applyFont="1" applyFill="1" applyBorder="1" applyAlignment="1" applyProtection="1">
      <alignment horizontal="center"/>
      <protection locked="0" hidden="1"/>
    </xf>
    <xf numFmtId="43" fontId="0" fillId="0" borderId="33" xfId="4" applyFont="1" applyBorder="1" applyAlignment="1" applyProtection="1">
      <alignment horizontal="center"/>
      <protection locked="0" hidden="1"/>
    </xf>
    <xf numFmtId="43" fontId="0" fillId="4" borderId="66" xfId="4" applyFont="1" applyFill="1" applyBorder="1" applyAlignment="1" applyProtection="1">
      <alignment horizontal="center"/>
      <protection locked="0" hidden="1"/>
    </xf>
    <xf numFmtId="0" fontId="0" fillId="0" borderId="3" xfId="0" applyFill="1" applyBorder="1" applyAlignment="1" applyProtection="1">
      <alignment horizontal="center"/>
      <protection locked="0" hidden="1"/>
    </xf>
    <xf numFmtId="9" fontId="0" fillId="4" borderId="3" xfId="1" applyFont="1" applyFill="1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center"/>
      <protection locked="0" hidden="1"/>
    </xf>
    <xf numFmtId="0" fontId="0" fillId="0" borderId="55" xfId="0" applyBorder="1" applyAlignment="1" applyProtection="1">
      <alignment horizontal="center"/>
      <protection locked="0" hidden="1"/>
    </xf>
    <xf numFmtId="44" fontId="0" fillId="4" borderId="80" xfId="5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2" fontId="0" fillId="4" borderId="33" xfId="0" applyNumberFormat="1" applyFill="1" applyBorder="1" applyAlignment="1" applyProtection="1">
      <alignment horizontal="center"/>
      <protection hidden="1"/>
    </xf>
    <xf numFmtId="0" fontId="0" fillId="4" borderId="35" xfId="0" applyFill="1" applyBorder="1" applyAlignment="1" applyProtection="1">
      <alignment horizontal="center"/>
      <protection hidden="1"/>
    </xf>
    <xf numFmtId="2" fontId="0" fillId="4" borderId="63" xfId="0" applyNumberFormat="1" applyFill="1" applyBorder="1" applyAlignment="1" applyProtection="1">
      <alignment horizontal="center"/>
      <protection hidden="1"/>
    </xf>
    <xf numFmtId="2" fontId="0" fillId="4" borderId="35" xfId="0" applyNumberFormat="1" applyFill="1" applyBorder="1" applyAlignment="1" applyProtection="1">
      <alignment horizontal="center"/>
      <protection hidden="1"/>
    </xf>
    <xf numFmtId="9" fontId="0" fillId="4" borderId="2" xfId="1" applyFont="1" applyFill="1" applyBorder="1" applyAlignment="1" applyProtection="1">
      <alignment horizontal="center"/>
      <protection hidden="1"/>
    </xf>
    <xf numFmtId="9" fontId="0" fillId="4" borderId="63" xfId="1" applyFont="1" applyFill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locked="0" hidden="1"/>
    </xf>
    <xf numFmtId="0" fontId="0" fillId="0" borderId="35" xfId="0" applyBorder="1" applyAlignment="1" applyProtection="1">
      <alignment horizontal="center"/>
      <protection locked="0" hidden="1"/>
    </xf>
    <xf numFmtId="44" fontId="0" fillId="4" borderId="35" xfId="5" applyFont="1" applyFill="1" applyBorder="1" applyAlignment="1" applyProtection="1">
      <alignment horizontal="center"/>
      <protection locked="0" hidden="1"/>
    </xf>
    <xf numFmtId="44" fontId="0" fillId="0" borderId="19" xfId="5" applyFont="1" applyFill="1" applyBorder="1" applyAlignment="1" applyProtection="1">
      <alignment horizontal="center"/>
      <protection locked="0" hidden="1"/>
    </xf>
    <xf numFmtId="44" fontId="0" fillId="0" borderId="4" xfId="5" applyFont="1" applyFill="1" applyBorder="1" applyAlignment="1" applyProtection="1">
      <alignment horizontal="center"/>
      <protection locked="0" hidden="1"/>
    </xf>
    <xf numFmtId="0" fontId="2" fillId="5" borderId="35" xfId="0" applyFont="1" applyFill="1" applyBorder="1" applyAlignment="1" applyProtection="1">
      <alignment horizontal="center"/>
      <protection hidden="1"/>
    </xf>
    <xf numFmtId="0" fontId="0" fillId="4" borderId="54" xfId="0" applyFill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center"/>
      <protection hidden="1"/>
    </xf>
    <xf numFmtId="0" fontId="0" fillId="4" borderId="55" xfId="0" applyFill="1" applyBorder="1" applyAlignment="1" applyProtection="1">
      <alignment horizontal="center"/>
      <protection hidden="1"/>
    </xf>
    <xf numFmtId="0" fontId="0" fillId="4" borderId="27" xfId="0" applyFill="1" applyBorder="1" applyAlignment="1" applyProtection="1">
      <alignment horizontal="center"/>
      <protection hidden="1"/>
    </xf>
    <xf numFmtId="0" fontId="2" fillId="3" borderId="64" xfId="0" applyFont="1" applyFill="1" applyBorder="1" applyAlignment="1" applyProtection="1">
      <alignment horizontal="center"/>
      <protection hidden="1"/>
    </xf>
    <xf numFmtId="0" fontId="2" fillId="3" borderId="38" xfId="0" applyFont="1" applyFill="1" applyBorder="1" applyAlignment="1" applyProtection="1">
      <alignment horizontal="center"/>
      <protection hidden="1"/>
    </xf>
    <xf numFmtId="0" fontId="2" fillId="3" borderId="35" xfId="0" applyFont="1" applyFill="1" applyBorder="1" applyAlignment="1" applyProtection="1">
      <alignment horizontal="center"/>
      <protection hidden="1"/>
    </xf>
    <xf numFmtId="0" fontId="2" fillId="3" borderId="39" xfId="0" applyFont="1" applyFill="1" applyBorder="1" applyAlignment="1" applyProtection="1">
      <alignment horizontal="center"/>
      <protection hidden="1"/>
    </xf>
    <xf numFmtId="0" fontId="2" fillId="5" borderId="63" xfId="0" applyFont="1" applyFill="1" applyBorder="1" applyAlignment="1" applyProtection="1">
      <alignment horizontal="center"/>
      <protection hidden="1"/>
    </xf>
    <xf numFmtId="0" fontId="0" fillId="4" borderId="54" xfId="0" applyFill="1" applyBorder="1" applyProtection="1">
      <protection hidden="1"/>
    </xf>
    <xf numFmtId="0" fontId="0" fillId="4" borderId="26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2" fillId="5" borderId="38" xfId="0" applyFont="1" applyFill="1" applyBorder="1" applyAlignment="1" applyProtection="1">
      <alignment horizontal="center"/>
      <protection hidden="1"/>
    </xf>
    <xf numFmtId="0" fontId="0" fillId="5" borderId="35" xfId="0" applyFill="1" applyBorder="1" applyAlignment="1" applyProtection="1">
      <alignment horizontal="center"/>
      <protection hidden="1"/>
    </xf>
    <xf numFmtId="0" fontId="2" fillId="5" borderId="35" xfId="0" applyFont="1" applyFill="1" applyBorder="1" applyAlignment="1" applyProtection="1">
      <alignment horizontal="center" vertical="center"/>
      <protection hidden="1"/>
    </xf>
    <xf numFmtId="0" fontId="0" fillId="4" borderId="61" xfId="0" applyFill="1" applyBorder="1" applyAlignment="1" applyProtection="1">
      <alignment horizontal="center"/>
      <protection hidden="1"/>
    </xf>
    <xf numFmtId="0" fontId="0" fillId="4" borderId="22" xfId="0" applyFill="1" applyBorder="1" applyAlignment="1" applyProtection="1">
      <alignment horizontal="center"/>
      <protection hidden="1"/>
    </xf>
    <xf numFmtId="0" fontId="0" fillId="4" borderId="54" xfId="0" applyFont="1" applyFill="1" applyBorder="1" applyAlignment="1" applyProtection="1">
      <alignment horizontal="center" vertical="center"/>
      <protection hidden="1"/>
    </xf>
    <xf numFmtId="0" fontId="0" fillId="4" borderId="26" xfId="0" applyFont="1" applyFill="1" applyBorder="1" applyAlignment="1" applyProtection="1">
      <alignment horizontal="center" vertical="center"/>
      <protection hidden="1"/>
    </xf>
    <xf numFmtId="0" fontId="0" fillId="4" borderId="27" xfId="0" applyFont="1" applyFill="1" applyBorder="1" applyAlignment="1" applyProtection="1">
      <alignment horizontal="center" vertical="center"/>
      <protection hidden="1"/>
    </xf>
    <xf numFmtId="0" fontId="0" fillId="0" borderId="35" xfId="0" applyFont="1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16" fillId="4" borderId="35" xfId="0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59" xfId="0" applyBorder="1" applyProtection="1">
      <protection hidden="1"/>
    </xf>
    <xf numFmtId="0" fontId="0" fillId="0" borderId="26" xfId="0" applyBorder="1" applyProtection="1">
      <protection hidden="1"/>
    </xf>
    <xf numFmtId="0" fontId="2" fillId="5" borderId="39" xfId="0" applyFont="1" applyFill="1" applyBorder="1" applyAlignment="1" applyProtection="1">
      <alignment horizontal="center"/>
      <protection hidden="1"/>
    </xf>
    <xf numFmtId="0" fontId="2" fillId="5" borderId="26" xfId="0" applyFont="1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2" fillId="5" borderId="22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2" fillId="5" borderId="23" xfId="0" applyFont="1" applyFill="1" applyBorder="1" applyAlignment="1" applyProtection="1">
      <alignment horizontal="center"/>
      <protection hidden="1"/>
    </xf>
    <xf numFmtId="0" fontId="2" fillId="5" borderId="24" xfId="0" applyFont="1" applyFill="1" applyBorder="1" applyAlignment="1" applyProtection="1">
      <alignment horizontal="center"/>
      <protection hidden="1"/>
    </xf>
    <xf numFmtId="0" fontId="2" fillId="5" borderId="42" xfId="0" applyFont="1" applyFill="1" applyBorder="1" applyAlignment="1" applyProtection="1">
      <alignment horizontal="center"/>
      <protection hidden="1"/>
    </xf>
    <xf numFmtId="0" fontId="2" fillId="5" borderId="25" xfId="0" applyFont="1" applyFill="1" applyBorder="1" applyAlignment="1" applyProtection="1">
      <alignment horizontal="center"/>
      <protection hidden="1"/>
    </xf>
    <xf numFmtId="0" fontId="0" fillId="4" borderId="38" xfId="0" applyFill="1" applyBorder="1" applyAlignment="1" applyProtection="1">
      <alignment horizontal="center"/>
      <protection hidden="1"/>
    </xf>
    <xf numFmtId="0" fontId="0" fillId="4" borderId="62" xfId="0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locked="0" hidden="1"/>
    </xf>
    <xf numFmtId="0" fontId="0" fillId="6" borderId="0" xfId="0" applyFill="1" applyBorder="1" applyProtection="1">
      <protection hidden="1"/>
    </xf>
    <xf numFmtId="0" fontId="0" fillId="6" borderId="0" xfId="0" applyFill="1" applyBorder="1" applyAlignment="1" applyProtection="1">
      <alignment wrapText="1"/>
      <protection hidden="1"/>
    </xf>
    <xf numFmtId="0" fontId="0" fillId="6" borderId="0" xfId="0" applyFill="1" applyBorder="1" applyAlignment="1" applyProtection="1">
      <alignment horizontal="left"/>
      <protection locked="0" hidden="1"/>
    </xf>
    <xf numFmtId="0" fontId="24" fillId="3" borderId="10" xfId="0" applyFont="1" applyFill="1" applyBorder="1" applyAlignment="1" applyProtection="1">
      <alignment vertical="center" wrapText="1"/>
      <protection hidden="1"/>
    </xf>
    <xf numFmtId="0" fontId="24" fillId="3" borderId="11" xfId="0" applyFont="1" applyFill="1" applyBorder="1" applyAlignment="1" applyProtection="1">
      <alignment vertical="center" wrapText="1"/>
      <protection hidden="1"/>
    </xf>
    <xf numFmtId="0" fontId="24" fillId="3" borderId="0" xfId="0" applyFont="1" applyFill="1" applyAlignment="1" applyProtection="1">
      <alignment vertical="center" wrapText="1"/>
      <protection hidden="1"/>
    </xf>
    <xf numFmtId="0" fontId="24" fillId="3" borderId="13" xfId="0" applyFont="1" applyFill="1" applyBorder="1" applyAlignment="1" applyProtection="1">
      <alignment vertical="center" wrapText="1"/>
      <protection hidden="1"/>
    </xf>
    <xf numFmtId="0" fontId="0" fillId="6" borderId="0" xfId="0" applyFill="1" applyBorder="1" applyAlignment="1" applyProtection="1">
      <alignment horizontal="center"/>
      <protection hidden="1"/>
    </xf>
    <xf numFmtId="9" fontId="0" fillId="6" borderId="0" xfId="1" applyFont="1" applyFill="1" applyBorder="1" applyAlignment="1" applyProtection="1">
      <alignment horizontal="center"/>
      <protection hidden="1"/>
    </xf>
    <xf numFmtId="2" fontId="0" fillId="6" borderId="0" xfId="0" applyNumberFormat="1" applyFill="1" applyBorder="1" applyAlignment="1" applyProtection="1">
      <alignment horizontal="center"/>
      <protection hidden="1"/>
    </xf>
    <xf numFmtId="0" fontId="25" fillId="3" borderId="10" xfId="0" applyFont="1" applyFill="1" applyBorder="1" applyAlignment="1" applyProtection="1">
      <alignment vertical="center" wrapText="1"/>
      <protection hidden="1"/>
    </xf>
    <xf numFmtId="0" fontId="25" fillId="3" borderId="11" xfId="0" applyFont="1" applyFill="1" applyBorder="1" applyAlignment="1" applyProtection="1">
      <alignment vertical="center" wrapText="1"/>
      <protection hidden="1"/>
    </xf>
    <xf numFmtId="0" fontId="25" fillId="3" borderId="0" xfId="0" applyFont="1" applyFill="1" applyAlignment="1" applyProtection="1">
      <alignment vertical="center" wrapText="1"/>
      <protection hidden="1"/>
    </xf>
    <xf numFmtId="0" fontId="25" fillId="3" borderId="13" xfId="0" applyFont="1" applyFill="1" applyBorder="1" applyAlignment="1" applyProtection="1">
      <alignment vertical="center" wrapText="1"/>
      <protection hidden="1"/>
    </xf>
    <xf numFmtId="0" fontId="25" fillId="3" borderId="15" xfId="0" applyFont="1" applyFill="1" applyBorder="1" applyAlignment="1" applyProtection="1">
      <alignment vertical="center" wrapText="1"/>
      <protection hidden="1"/>
    </xf>
    <xf numFmtId="0" fontId="25" fillId="3" borderId="16" xfId="0" applyFont="1" applyFill="1" applyBorder="1" applyAlignment="1" applyProtection="1">
      <alignment vertical="center" wrapText="1"/>
      <protection hidden="1"/>
    </xf>
    <xf numFmtId="0" fontId="25" fillId="3" borderId="0" xfId="0" applyFont="1" applyFill="1" applyBorder="1" applyAlignment="1" applyProtection="1">
      <alignment vertical="center" wrapText="1"/>
      <protection hidden="1"/>
    </xf>
    <xf numFmtId="0" fontId="0" fillId="6" borderId="15" xfId="0" applyFill="1" applyBorder="1" applyAlignment="1" applyProtection="1">
      <alignment horizontal="center"/>
      <protection hidden="1"/>
    </xf>
    <xf numFmtId="0" fontId="0" fillId="6" borderId="15" xfId="0" applyFill="1" applyBorder="1" applyAlignment="1" applyProtection="1">
      <alignment horizontal="center"/>
      <protection locked="0" hidden="1"/>
    </xf>
    <xf numFmtId="2" fontId="0" fillId="6" borderId="15" xfId="0" applyNumberFormat="1" applyFill="1" applyBorder="1" applyAlignment="1" applyProtection="1">
      <alignment horizontal="center"/>
      <protection hidden="1"/>
    </xf>
    <xf numFmtId="0" fontId="2" fillId="0" borderId="36" xfId="0" applyFont="1" applyFill="1" applyBorder="1" applyAlignment="1" applyProtection="1">
      <alignment horizontal="center"/>
      <protection locked="0" hidden="1"/>
    </xf>
    <xf numFmtId="0" fontId="0" fillId="0" borderId="37" xfId="0" applyFill="1" applyBorder="1" applyAlignment="1" applyProtection="1">
      <alignment horizontal="center"/>
      <protection locked="0" hidden="1"/>
    </xf>
    <xf numFmtId="0" fontId="0" fillId="0" borderId="71" xfId="0" applyFill="1" applyBorder="1" applyAlignment="1" applyProtection="1">
      <alignment horizontal="center"/>
      <protection locked="0" hidden="1"/>
    </xf>
    <xf numFmtId="0" fontId="0" fillId="4" borderId="64" xfId="0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alignment horizontal="center"/>
      <protection locked="0" hidden="1"/>
    </xf>
    <xf numFmtId="0" fontId="2" fillId="5" borderId="36" xfId="0" applyFont="1" applyFill="1" applyBorder="1" applyAlignment="1" applyProtection="1">
      <alignment horizontal="center"/>
      <protection hidden="1"/>
    </xf>
    <xf numFmtId="44" fontId="0" fillId="4" borderId="1" xfId="5" applyFont="1" applyFill="1" applyBorder="1" applyAlignment="1" applyProtection="1">
      <alignment horizontal="center"/>
      <protection locked="0" hidden="1"/>
    </xf>
    <xf numFmtId="44" fontId="0" fillId="4" borderId="2" xfId="5" applyFont="1" applyFill="1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right"/>
      <protection locked="0" hidden="1"/>
    </xf>
    <xf numFmtId="0" fontId="0" fillId="0" borderId="1" xfId="0" applyBorder="1" applyAlignment="1" applyProtection="1">
      <alignment horizontal="right"/>
      <protection locked="0" hidden="1"/>
    </xf>
    <xf numFmtId="0" fontId="0" fillId="0" borderId="2" xfId="0" applyBorder="1" applyAlignment="1" applyProtection="1">
      <alignment horizontal="right"/>
      <protection locked="0" hidden="1"/>
    </xf>
    <xf numFmtId="164" fontId="0" fillId="4" borderId="66" xfId="4" applyNumberFormat="1" applyFont="1" applyFill="1" applyBorder="1" applyAlignment="1" applyProtection="1">
      <alignment horizontal="right"/>
      <protection locked="0" hidden="1"/>
    </xf>
    <xf numFmtId="0" fontId="9" fillId="0" borderId="9" xfId="0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locked="0" hidden="1"/>
    </xf>
    <xf numFmtId="0" fontId="0" fillId="0" borderId="13" xfId="0" applyBorder="1" applyProtection="1">
      <protection locked="0" hidden="1"/>
    </xf>
    <xf numFmtId="0" fontId="27" fillId="6" borderId="0" xfId="0" applyFont="1" applyFill="1" applyBorder="1" applyProtection="1">
      <protection locked="0" hidden="1"/>
    </xf>
    <xf numFmtId="0" fontId="28" fillId="6" borderId="0" xfId="0" applyFont="1" applyFill="1" applyBorder="1" applyProtection="1">
      <protection locked="0" hidden="1"/>
    </xf>
    <xf numFmtId="0" fontId="28" fillId="6" borderId="0" xfId="0" applyFont="1" applyFill="1" applyProtection="1">
      <protection locked="0" hidden="1"/>
    </xf>
    <xf numFmtId="0" fontId="28" fillId="6" borderId="0" xfId="0" applyFont="1" applyFill="1" applyBorder="1" applyAlignment="1" applyProtection="1">
      <protection locked="0" hidden="1"/>
    </xf>
    <xf numFmtId="0" fontId="28" fillId="6" borderId="0" xfId="0" applyFont="1" applyFill="1" applyBorder="1" applyAlignment="1" applyProtection="1">
      <alignment horizontal="center"/>
      <protection locked="0" hidden="1"/>
    </xf>
    <xf numFmtId="9" fontId="28" fillId="6" borderId="0" xfId="1" applyFont="1" applyFill="1" applyBorder="1" applyAlignment="1" applyProtection="1">
      <alignment horizontal="center"/>
      <protection locked="0" hidden="1"/>
    </xf>
    <xf numFmtId="0" fontId="2" fillId="5" borderId="74" xfId="0" applyFont="1" applyFill="1" applyBorder="1" applyAlignment="1" applyProtection="1">
      <alignment horizontal="center"/>
      <protection hidden="1"/>
    </xf>
    <xf numFmtId="0" fontId="2" fillId="5" borderId="80" xfId="0" applyFont="1" applyFill="1" applyBorder="1" applyAlignment="1" applyProtection="1">
      <alignment horizontal="center"/>
      <protection hidden="1"/>
    </xf>
    <xf numFmtId="44" fontId="0" fillId="4" borderId="79" xfId="5" applyFont="1" applyFill="1" applyBorder="1" applyAlignment="1" applyProtection="1">
      <alignment horizontal="center"/>
      <protection hidden="1"/>
    </xf>
    <xf numFmtId="43" fontId="0" fillId="0" borderId="1" xfId="4" applyFont="1" applyFill="1" applyBorder="1" applyProtection="1">
      <protection locked="0" hidden="1"/>
    </xf>
    <xf numFmtId="44" fontId="0" fillId="4" borderId="77" xfId="5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Protection="1">
      <protection locked="0" hidden="1"/>
    </xf>
    <xf numFmtId="166" fontId="0" fillId="4" borderId="13" xfId="5" applyNumberFormat="1" applyFont="1" applyFill="1" applyBorder="1" applyAlignment="1" applyProtection="1">
      <alignment horizontal="center" vertical="center"/>
      <protection hidden="1"/>
    </xf>
    <xf numFmtId="0" fontId="23" fillId="4" borderId="9" xfId="0" applyFont="1" applyFill="1" applyBorder="1" applyAlignment="1" applyProtection="1">
      <alignment horizontal="center" vertical="center"/>
      <protection hidden="1"/>
    </xf>
    <xf numFmtId="0" fontId="23" fillId="4" borderId="10" xfId="0" applyFont="1" applyFill="1" applyBorder="1" applyAlignment="1" applyProtection="1">
      <alignment horizontal="center" vertical="center"/>
      <protection hidden="1"/>
    </xf>
    <xf numFmtId="0" fontId="23" fillId="4" borderId="11" xfId="0" applyFont="1" applyFill="1" applyBorder="1" applyAlignment="1" applyProtection="1">
      <alignment horizontal="center" vertical="center"/>
      <protection hidden="1"/>
    </xf>
    <xf numFmtId="0" fontId="23" fillId="4" borderId="12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horizontal="center" vertical="center"/>
      <protection hidden="1"/>
    </xf>
    <xf numFmtId="0" fontId="23" fillId="4" borderId="14" xfId="0" applyFont="1" applyFill="1" applyBorder="1" applyAlignment="1" applyProtection="1">
      <alignment horizontal="center" vertical="center"/>
      <protection hidden="1"/>
    </xf>
    <xf numFmtId="0" fontId="23" fillId="4" borderId="15" xfId="0" applyFont="1" applyFill="1" applyBorder="1" applyAlignment="1" applyProtection="1">
      <alignment horizontal="center" vertical="center"/>
      <protection hidden="1"/>
    </xf>
    <xf numFmtId="0" fontId="23" fillId="4" borderId="16" xfId="0" applyFont="1" applyFill="1" applyBorder="1" applyAlignment="1" applyProtection="1">
      <alignment horizontal="center" vertical="center"/>
      <protection hidden="1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 wrapText="1"/>
      <protection hidden="1"/>
    </xf>
    <xf numFmtId="0" fontId="22" fillId="3" borderId="10" xfId="0" applyFont="1" applyFill="1" applyBorder="1" applyAlignment="1" applyProtection="1">
      <alignment horizontal="center" vertical="center" wrapText="1"/>
      <protection hidden="1"/>
    </xf>
    <xf numFmtId="0" fontId="22" fillId="3" borderId="11" xfId="0" applyFont="1" applyFill="1" applyBorder="1" applyAlignment="1" applyProtection="1">
      <alignment horizontal="center" vertical="center" wrapText="1"/>
      <protection hidden="1"/>
    </xf>
    <xf numFmtId="0" fontId="22" fillId="3" borderId="12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0" fontId="22" fillId="3" borderId="13" xfId="0" applyFont="1" applyFill="1" applyBorder="1" applyAlignment="1" applyProtection="1">
      <alignment horizontal="center" vertical="center" wrapText="1"/>
      <protection hidden="1"/>
    </xf>
    <xf numFmtId="0" fontId="22" fillId="3" borderId="14" xfId="0" applyFont="1" applyFill="1" applyBorder="1" applyAlignment="1" applyProtection="1">
      <alignment horizontal="center" vertical="center" wrapText="1"/>
      <protection hidden="1"/>
    </xf>
    <xf numFmtId="0" fontId="22" fillId="3" borderId="15" xfId="0" applyFont="1" applyFill="1" applyBorder="1" applyAlignment="1" applyProtection="1">
      <alignment horizontal="center" vertical="center" wrapText="1"/>
      <protection hidden="1"/>
    </xf>
    <xf numFmtId="0" fontId="22" fillId="3" borderId="16" xfId="0" applyFont="1" applyFill="1" applyBorder="1" applyAlignment="1" applyProtection="1">
      <alignment horizontal="center" vertical="center" wrapText="1"/>
      <protection hidden="1"/>
    </xf>
    <xf numFmtId="0" fontId="26" fillId="3" borderId="9" xfId="0" applyFont="1" applyFill="1" applyBorder="1" applyAlignment="1" applyProtection="1">
      <alignment horizontal="center" vertical="center" wrapText="1"/>
      <protection hidden="1"/>
    </xf>
    <xf numFmtId="0" fontId="26" fillId="3" borderId="10" xfId="0" applyFont="1" applyFill="1" applyBorder="1" applyAlignment="1" applyProtection="1">
      <alignment horizontal="center" vertical="center" wrapText="1"/>
      <protection hidden="1"/>
    </xf>
    <xf numFmtId="0" fontId="26" fillId="3" borderId="11" xfId="0" applyFont="1" applyFill="1" applyBorder="1" applyAlignment="1" applyProtection="1">
      <alignment horizontal="center" vertical="center" wrapText="1"/>
      <protection hidden="1"/>
    </xf>
    <xf numFmtId="0" fontId="26" fillId="3" borderId="12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6" fillId="3" borderId="13" xfId="0" applyFont="1" applyFill="1" applyBorder="1" applyAlignment="1" applyProtection="1">
      <alignment horizontal="center" vertical="center" wrapText="1"/>
      <protection hidden="1"/>
    </xf>
    <xf numFmtId="0" fontId="26" fillId="3" borderId="14" xfId="0" applyFont="1" applyFill="1" applyBorder="1" applyAlignment="1" applyProtection="1">
      <alignment horizontal="center" vertical="center" wrapText="1"/>
      <protection hidden="1"/>
    </xf>
    <xf numFmtId="0" fontId="26" fillId="3" borderId="15" xfId="0" applyFont="1" applyFill="1" applyBorder="1" applyAlignment="1" applyProtection="1">
      <alignment horizontal="center" vertical="center" wrapText="1"/>
      <protection hidden="1"/>
    </xf>
    <xf numFmtId="0" fontId="26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64" xfId="0" applyFill="1" applyBorder="1" applyAlignment="1" applyProtection="1">
      <alignment horizontal="center"/>
      <protection hidden="1"/>
    </xf>
    <xf numFmtId="0" fontId="0" fillId="0" borderId="65" xfId="0" applyFill="1" applyBorder="1" applyAlignment="1" applyProtection="1">
      <alignment horizontal="center"/>
      <protection hidden="1"/>
    </xf>
    <xf numFmtId="0" fontId="0" fillId="0" borderId="66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 wrapText="1"/>
      <protection hidden="1"/>
    </xf>
    <xf numFmtId="0" fontId="0" fillId="0" borderId="10" xfId="0" applyFill="1" applyBorder="1" applyAlignment="1" applyProtection="1">
      <alignment horizontal="center" wrapText="1"/>
      <protection hidden="1"/>
    </xf>
    <xf numFmtId="0" fontId="0" fillId="0" borderId="11" xfId="0" applyFill="1" applyBorder="1" applyAlignment="1" applyProtection="1">
      <alignment horizontal="center" wrapText="1"/>
      <protection hidden="1"/>
    </xf>
    <xf numFmtId="0" fontId="0" fillId="0" borderId="12" xfId="0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13" xfId="0" applyFill="1" applyBorder="1" applyAlignment="1" applyProtection="1">
      <alignment horizontal="center" wrapText="1"/>
      <protection hidden="1"/>
    </xf>
    <xf numFmtId="0" fontId="0" fillId="0" borderId="14" xfId="0" applyFill="1" applyBorder="1" applyAlignment="1" applyProtection="1">
      <alignment horizontal="center" wrapText="1"/>
      <protection hidden="1"/>
    </xf>
    <xf numFmtId="0" fontId="0" fillId="0" borderId="15" xfId="0" applyFill="1" applyBorder="1" applyAlignment="1" applyProtection="1">
      <alignment horizontal="center" wrapText="1"/>
      <protection hidden="1"/>
    </xf>
    <xf numFmtId="0" fontId="0" fillId="0" borderId="16" xfId="0" applyFill="1" applyBorder="1" applyAlignment="1" applyProtection="1">
      <alignment horizontal="center" wrapText="1"/>
      <protection hidden="1"/>
    </xf>
    <xf numFmtId="0" fontId="2" fillId="5" borderId="38" xfId="0" applyFont="1" applyFill="1" applyBorder="1" applyAlignment="1" applyProtection="1">
      <alignment horizontal="center"/>
      <protection locked="0" hidden="1"/>
    </xf>
    <xf numFmtId="0" fontId="2" fillId="5" borderId="39" xfId="0" applyFont="1" applyFill="1" applyBorder="1" applyAlignment="1" applyProtection="1">
      <alignment horizontal="center"/>
      <protection locked="0" hidden="1"/>
    </xf>
    <xf numFmtId="0" fontId="2" fillId="5" borderId="63" xfId="0" applyFont="1" applyFill="1" applyBorder="1" applyAlignment="1" applyProtection="1">
      <alignment horizontal="center"/>
      <protection locked="0" hidden="1"/>
    </xf>
    <xf numFmtId="0" fontId="2" fillId="5" borderId="54" xfId="0" applyFont="1" applyFill="1" applyBorder="1" applyAlignment="1" applyProtection="1">
      <alignment horizontal="center"/>
      <protection locked="0" hidden="1"/>
    </xf>
    <xf numFmtId="0" fontId="2" fillId="5" borderId="3" xfId="0" applyFont="1" applyFill="1" applyBorder="1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17" xfId="0" applyBorder="1" applyAlignment="1" applyProtection="1">
      <alignment horizontal="center"/>
      <protection locked="0" hidden="1"/>
    </xf>
    <xf numFmtId="0" fontId="0" fillId="0" borderId="36" xfId="0" applyFill="1" applyBorder="1" applyAlignment="1" applyProtection="1">
      <alignment horizontal="center" wrapText="1"/>
      <protection hidden="1"/>
    </xf>
    <xf numFmtId="0" fontId="0" fillId="0" borderId="69" xfId="0" applyFill="1" applyBorder="1" applyAlignment="1" applyProtection="1">
      <alignment horizontal="center" wrapText="1"/>
      <protection hidden="1"/>
    </xf>
    <xf numFmtId="0" fontId="0" fillId="0" borderId="70" xfId="0" applyFill="1" applyBorder="1" applyAlignment="1" applyProtection="1">
      <alignment horizontal="center" wrapText="1"/>
      <protection hidden="1"/>
    </xf>
    <xf numFmtId="0" fontId="0" fillId="4" borderId="64" xfId="0" applyFill="1" applyBorder="1" applyAlignment="1" applyProtection="1">
      <alignment horizontal="center"/>
      <protection hidden="1"/>
    </xf>
    <xf numFmtId="0" fontId="0" fillId="4" borderId="65" xfId="0" applyFill="1" applyBorder="1" applyAlignment="1" applyProtection="1">
      <alignment horizontal="center"/>
      <protection hidden="1"/>
    </xf>
    <xf numFmtId="0" fontId="0" fillId="0" borderId="54" xfId="0" applyFill="1" applyBorder="1" applyAlignment="1" applyProtection="1">
      <alignment horizontal="center"/>
      <protection locked="0" hidden="1"/>
    </xf>
    <xf numFmtId="0" fontId="0" fillId="0" borderId="3" xfId="0" applyFill="1" applyBorder="1" applyAlignment="1" applyProtection="1">
      <alignment horizontal="center"/>
      <protection locked="0" hidden="1"/>
    </xf>
    <xf numFmtId="0" fontId="0" fillId="0" borderId="64" xfId="0" applyBorder="1" applyAlignment="1" applyProtection="1">
      <alignment horizontal="center"/>
      <protection locked="0" hidden="1"/>
    </xf>
    <xf numFmtId="0" fontId="0" fillId="0" borderId="65" xfId="0" applyBorder="1" applyAlignment="1" applyProtection="1">
      <alignment horizontal="center"/>
      <protection locked="0" hidden="1"/>
    </xf>
    <xf numFmtId="0" fontId="2" fillId="5" borderId="38" xfId="0" applyFont="1" applyFill="1" applyBorder="1" applyAlignment="1" applyProtection="1">
      <alignment horizontal="center"/>
      <protection hidden="1"/>
    </xf>
    <xf numFmtId="0" fontId="2" fillId="5" borderId="39" xfId="0" applyFont="1" applyFill="1" applyBorder="1" applyAlignment="1" applyProtection="1">
      <alignment horizontal="center"/>
      <protection hidden="1"/>
    </xf>
    <xf numFmtId="0" fontId="2" fillId="5" borderId="63" xfId="0" applyFont="1" applyFill="1" applyBorder="1" applyAlignment="1" applyProtection="1">
      <alignment horizontal="center"/>
      <protection hidden="1"/>
    </xf>
    <xf numFmtId="0" fontId="2" fillId="5" borderId="53" xfId="0" applyFont="1" applyFill="1" applyBorder="1" applyAlignment="1" applyProtection="1">
      <alignment horizontal="center"/>
      <protection hidden="1"/>
    </xf>
    <xf numFmtId="0" fontId="2" fillId="5" borderId="43" xfId="0" applyFont="1" applyFill="1" applyBorder="1" applyAlignment="1" applyProtection="1">
      <alignment horizontal="center"/>
      <protection hidden="1"/>
    </xf>
    <xf numFmtId="0" fontId="2" fillId="5" borderId="57" xfId="0" applyFont="1" applyFill="1" applyBorder="1" applyAlignment="1" applyProtection="1">
      <alignment horizontal="center"/>
      <protection hidden="1"/>
    </xf>
    <xf numFmtId="0" fontId="2" fillId="5" borderId="9" xfId="0" applyFont="1" applyFill="1" applyBorder="1" applyAlignment="1" applyProtection="1">
      <alignment horizontal="center"/>
      <protection hidden="1"/>
    </xf>
    <xf numFmtId="0" fontId="2" fillId="5" borderId="10" xfId="0" applyFont="1" applyFill="1" applyBorder="1" applyAlignment="1" applyProtection="1">
      <alignment horizontal="center"/>
      <protection hidden="1"/>
    </xf>
    <xf numFmtId="0" fontId="2" fillId="5" borderId="11" xfId="0" applyFont="1" applyFill="1" applyBorder="1" applyAlignment="1" applyProtection="1">
      <alignment horizontal="center"/>
      <protection hidden="1"/>
    </xf>
    <xf numFmtId="0" fontId="2" fillId="5" borderId="78" xfId="0" applyFont="1" applyFill="1" applyBorder="1" applyAlignment="1" applyProtection="1">
      <alignment horizontal="center"/>
      <protection hidden="1"/>
    </xf>
    <xf numFmtId="0" fontId="2" fillId="5" borderId="79" xfId="0" applyFont="1" applyFill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locked="0" hidden="1"/>
    </xf>
    <xf numFmtId="0" fontId="0" fillId="0" borderId="75" xfId="0" applyBorder="1" applyAlignment="1" applyProtection="1">
      <alignment horizontal="center"/>
      <protection locked="0" hidden="1"/>
    </xf>
    <xf numFmtId="0" fontId="0" fillId="0" borderId="73" xfId="0" applyBorder="1" applyAlignment="1" applyProtection="1">
      <alignment horizontal="center"/>
      <protection locked="0" hidden="1"/>
    </xf>
    <xf numFmtId="0" fontId="0" fillId="0" borderId="56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76" xfId="0" applyBorder="1" applyAlignment="1" applyProtection="1">
      <alignment horizontal="center"/>
      <protection locked="0" hidden="1"/>
    </xf>
    <xf numFmtId="0" fontId="2" fillId="5" borderId="23" xfId="0" applyFont="1" applyFill="1" applyBorder="1" applyAlignment="1" applyProtection="1">
      <alignment horizontal="center"/>
      <protection locked="0" hidden="1"/>
    </xf>
    <xf numFmtId="0" fontId="2" fillId="5" borderId="24" xfId="0" applyFont="1" applyFill="1" applyBorder="1" applyAlignment="1" applyProtection="1">
      <alignment horizontal="center"/>
      <protection locked="0" hidden="1"/>
    </xf>
    <xf numFmtId="0" fontId="0" fillId="6" borderId="0" xfId="0" applyFill="1" applyBorder="1" applyAlignment="1" applyProtection="1">
      <alignment horizontal="center"/>
      <protection locked="0" hidden="1"/>
    </xf>
    <xf numFmtId="0" fontId="0" fillId="0" borderId="30" xfId="0" applyFill="1" applyBorder="1" applyAlignment="1" applyProtection="1">
      <alignment horizontal="center"/>
      <protection locked="0" hidden="1"/>
    </xf>
    <xf numFmtId="0" fontId="0" fillId="0" borderId="17" xfId="0" applyFill="1" applyBorder="1" applyAlignment="1" applyProtection="1">
      <alignment horizontal="center"/>
      <protection locked="0" hidden="1"/>
    </xf>
    <xf numFmtId="0" fontId="0" fillId="0" borderId="73" xfId="0" applyFill="1" applyBorder="1" applyAlignment="1" applyProtection="1">
      <alignment horizontal="center"/>
      <protection locked="0" hidden="1"/>
    </xf>
    <xf numFmtId="0" fontId="0" fillId="0" borderId="56" xfId="0" applyFill="1" applyBorder="1" applyAlignment="1" applyProtection="1">
      <alignment horizontal="center"/>
      <protection locked="0" hidden="1"/>
    </xf>
    <xf numFmtId="0" fontId="2" fillId="5" borderId="53" xfId="0" applyFont="1" applyFill="1" applyBorder="1" applyAlignment="1" applyProtection="1">
      <alignment horizontal="center"/>
      <protection locked="0" hidden="1"/>
    </xf>
    <xf numFmtId="0" fontId="2" fillId="5" borderId="32" xfId="0" applyFont="1" applyFill="1" applyBorder="1" applyAlignment="1" applyProtection="1">
      <alignment horizontal="center"/>
      <protection locked="0" hidden="1"/>
    </xf>
    <xf numFmtId="0" fontId="0" fillId="4" borderId="26" xfId="0" applyFill="1" applyBorder="1" applyAlignment="1" applyProtection="1">
      <alignment horizontal="center" vertical="center"/>
      <protection locked="0" hidden="1"/>
    </xf>
    <xf numFmtId="0" fontId="0" fillId="4" borderId="1" xfId="0" applyFill="1" applyBorder="1" applyAlignment="1" applyProtection="1">
      <alignment horizontal="center" vertical="center"/>
      <protection locked="0" hidden="1"/>
    </xf>
    <xf numFmtId="0" fontId="0" fillId="4" borderId="40" xfId="0" applyFill="1" applyBorder="1" applyAlignment="1" applyProtection="1">
      <alignment horizontal="center" vertical="center"/>
      <protection locked="0" hidden="1"/>
    </xf>
    <xf numFmtId="0" fontId="0" fillId="4" borderId="21" xfId="0" applyFill="1" applyBorder="1" applyAlignment="1" applyProtection="1">
      <alignment horizontal="center" vertical="center"/>
      <protection locked="0" hidden="1"/>
    </xf>
    <xf numFmtId="0" fontId="0" fillId="4" borderId="59" xfId="0" applyFill="1" applyBorder="1" applyAlignment="1" applyProtection="1">
      <alignment horizontal="center" vertical="center"/>
      <protection locked="0" hidden="1"/>
    </xf>
    <xf numFmtId="0" fontId="0" fillId="4" borderId="31" xfId="0" applyFill="1" applyBorder="1" applyAlignment="1" applyProtection="1">
      <alignment horizontal="center" vertical="center"/>
      <protection locked="0" hidden="1"/>
    </xf>
    <xf numFmtId="0" fontId="0" fillId="4" borderId="30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2" fillId="3" borderId="38" xfId="0" applyFont="1" applyFill="1" applyBorder="1" applyAlignment="1" applyProtection="1">
      <alignment horizontal="center"/>
      <protection hidden="1"/>
    </xf>
    <xf numFmtId="0" fontId="2" fillId="3" borderId="39" xfId="0" applyFont="1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 vertical="center"/>
      <protection locked="0" hidden="1"/>
    </xf>
    <xf numFmtId="0" fontId="0" fillId="4" borderId="20" xfId="0" applyFill="1" applyBorder="1" applyAlignment="1" applyProtection="1">
      <alignment horizontal="center" vertical="center"/>
      <protection locked="0" hidden="1"/>
    </xf>
    <xf numFmtId="0" fontId="0" fillId="4" borderId="30" xfId="0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0" fillId="4" borderId="40" xfId="0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 vertical="center" wrapText="1"/>
      <protection locked="0" hidden="1"/>
    </xf>
    <xf numFmtId="0" fontId="0" fillId="4" borderId="41" xfId="0" applyFill="1" applyBorder="1" applyAlignment="1" applyProtection="1">
      <alignment horizontal="center" vertical="center" wrapText="1"/>
      <protection locked="0" hidden="1"/>
    </xf>
    <xf numFmtId="0" fontId="0" fillId="4" borderId="0" xfId="0" applyFill="1" applyBorder="1" applyAlignment="1" applyProtection="1">
      <alignment horizontal="center" vertical="center" wrapText="1"/>
      <protection locked="0" hidden="1"/>
    </xf>
    <xf numFmtId="0" fontId="0" fillId="4" borderId="13" xfId="0" applyFill="1" applyBorder="1" applyAlignment="1" applyProtection="1">
      <alignment horizontal="center" vertical="center" wrapText="1"/>
      <protection locked="0" hidden="1"/>
    </xf>
    <xf numFmtId="0" fontId="0" fillId="4" borderId="34" xfId="0" applyFill="1" applyBorder="1" applyAlignment="1" applyProtection="1">
      <alignment horizontal="center" vertical="center" wrapText="1"/>
      <protection locked="0" hidden="1"/>
    </xf>
    <xf numFmtId="0" fontId="0" fillId="4" borderId="58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wrapText="1"/>
      <protection locked="0" hidden="1"/>
    </xf>
    <xf numFmtId="0" fontId="0" fillId="4" borderId="22" xfId="0" applyFill="1" applyBorder="1" applyAlignment="1" applyProtection="1">
      <alignment horizontal="center" wrapText="1"/>
      <protection locked="0" hidden="1"/>
    </xf>
    <xf numFmtId="0" fontId="0" fillId="4" borderId="40" xfId="0" applyFont="1" applyFill="1" applyBorder="1" applyAlignment="1" applyProtection="1">
      <alignment horizontal="center" vertical="center" wrapText="1"/>
      <protection locked="0" hidden="1"/>
    </xf>
    <xf numFmtId="0" fontId="0" fillId="4" borderId="21" xfId="0" applyFont="1" applyFill="1" applyBorder="1" applyAlignment="1" applyProtection="1">
      <alignment horizontal="center" vertical="center" wrapText="1"/>
      <protection locked="0" hidden="1"/>
    </xf>
    <xf numFmtId="0" fontId="0" fillId="4" borderId="12" xfId="0" applyFont="1" applyFill="1" applyBorder="1" applyAlignment="1" applyProtection="1">
      <alignment horizontal="center" vertical="center" wrapText="1"/>
      <protection locked="0" hidden="1"/>
    </xf>
    <xf numFmtId="0" fontId="0" fillId="4" borderId="20" xfId="0" applyFont="1" applyFill="1" applyBorder="1" applyAlignment="1" applyProtection="1">
      <alignment horizontal="center" vertical="center" wrapText="1"/>
      <protection locked="0" hidden="1"/>
    </xf>
    <xf numFmtId="0" fontId="0" fillId="4" borderId="59" xfId="0" applyFont="1" applyFill="1" applyBorder="1" applyAlignment="1" applyProtection="1">
      <alignment horizontal="center" vertical="center" wrapText="1"/>
      <protection locked="0" hidden="1"/>
    </xf>
    <xf numFmtId="0" fontId="0" fillId="4" borderId="31" xfId="0" applyFont="1" applyFill="1" applyBorder="1" applyAlignment="1" applyProtection="1">
      <alignment horizontal="center" vertical="center" wrapText="1"/>
      <protection locked="0" hidden="1"/>
    </xf>
    <xf numFmtId="0" fontId="0" fillId="4" borderId="4" xfId="0" applyFill="1" applyBorder="1" applyAlignment="1" applyProtection="1">
      <alignment horizontal="center" vertical="center" wrapText="1"/>
      <protection locked="0" hidden="1"/>
    </xf>
    <xf numFmtId="0" fontId="0" fillId="4" borderId="19" xfId="0" applyFill="1" applyBorder="1" applyAlignment="1" applyProtection="1">
      <alignment horizontal="center" vertical="center" wrapText="1"/>
      <protection locked="0" hidden="1"/>
    </xf>
    <xf numFmtId="0" fontId="0" fillId="4" borderId="27" xfId="0" applyFill="1" applyBorder="1" applyAlignment="1" applyProtection="1">
      <alignment horizontal="center"/>
      <protection hidden="1"/>
    </xf>
    <xf numFmtId="0" fontId="0" fillId="4" borderId="28" xfId="0" applyFill="1" applyBorder="1" applyAlignment="1" applyProtection="1">
      <alignment horizontal="center"/>
      <protection hidden="1"/>
    </xf>
    <xf numFmtId="0" fontId="19" fillId="5" borderId="64" xfId="0" applyFont="1" applyFill="1" applyBorder="1" applyAlignment="1" applyProtection="1">
      <alignment horizontal="center"/>
      <protection hidden="1"/>
    </xf>
    <xf numFmtId="0" fontId="19" fillId="5" borderId="65" xfId="0" applyFont="1" applyFill="1" applyBorder="1" applyAlignment="1" applyProtection="1">
      <alignment horizontal="center"/>
      <protection hidden="1"/>
    </xf>
    <xf numFmtId="0" fontId="19" fillId="5" borderId="66" xfId="0" applyFont="1" applyFill="1" applyBorder="1" applyAlignment="1" applyProtection="1">
      <alignment horizontal="center"/>
      <protection hidden="1"/>
    </xf>
    <xf numFmtId="0" fontId="2" fillId="5" borderId="9" xfId="0" applyFont="1" applyFill="1" applyBorder="1" applyAlignment="1" applyProtection="1">
      <alignment horizontal="center"/>
      <protection locked="0" hidden="1"/>
    </xf>
    <xf numFmtId="0" fontId="2" fillId="5" borderId="11" xfId="0" applyFont="1" applyFill="1" applyBorder="1" applyAlignment="1" applyProtection="1">
      <alignment horizontal="center"/>
      <protection locked="0" hidden="1"/>
    </xf>
    <xf numFmtId="0" fontId="0" fillId="4" borderId="54" xfId="0" applyFont="1" applyFill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alignment horizontal="center"/>
      <protection hidden="1"/>
    </xf>
    <xf numFmtId="0" fontId="0" fillId="4" borderId="26" xfId="0" applyFont="1" applyFill="1" applyBorder="1" applyAlignment="1" applyProtection="1">
      <alignment horizontal="center"/>
      <protection hidden="1"/>
    </xf>
    <xf numFmtId="0" fontId="0" fillId="4" borderId="1" xfId="0" applyFont="1" applyFill="1" applyBorder="1" applyAlignment="1" applyProtection="1">
      <alignment horizontal="center"/>
      <protection hidden="1"/>
    </xf>
    <xf numFmtId="0" fontId="2" fillId="5" borderId="23" xfId="0" applyFont="1" applyFill="1" applyBorder="1" applyAlignment="1" applyProtection="1">
      <alignment horizontal="center" vertical="center"/>
      <protection locked="0" hidden="1"/>
    </xf>
    <xf numFmtId="0" fontId="2" fillId="5" borderId="24" xfId="0" applyFont="1" applyFill="1" applyBorder="1" applyAlignment="1" applyProtection="1">
      <alignment horizontal="center" vertical="center"/>
      <protection locked="0" hidden="1"/>
    </xf>
    <xf numFmtId="0" fontId="2" fillId="5" borderId="25" xfId="0" applyFont="1" applyFill="1" applyBorder="1" applyAlignment="1" applyProtection="1">
      <alignment horizontal="center" vertical="center"/>
      <protection locked="0" hidden="1"/>
    </xf>
    <xf numFmtId="0" fontId="2" fillId="5" borderId="27" xfId="0" applyFont="1" applyFill="1" applyBorder="1" applyAlignment="1" applyProtection="1">
      <alignment horizontal="center" vertical="center"/>
      <protection locked="0" hidden="1"/>
    </xf>
    <xf numFmtId="0" fontId="2" fillId="5" borderId="28" xfId="0" applyFont="1" applyFill="1" applyBorder="1" applyAlignment="1" applyProtection="1">
      <alignment horizontal="center" vertical="center"/>
      <protection locked="0" hidden="1"/>
    </xf>
    <xf numFmtId="0" fontId="2" fillId="5" borderId="29" xfId="0" applyFont="1" applyFill="1" applyBorder="1" applyAlignment="1" applyProtection="1">
      <alignment horizontal="center" vertical="center"/>
      <protection locked="0" hidden="1"/>
    </xf>
    <xf numFmtId="0" fontId="0" fillId="4" borderId="54" xfId="0" applyFont="1" applyFill="1" applyBorder="1" applyAlignment="1" applyProtection="1">
      <alignment horizontal="center" vertical="center" wrapText="1"/>
      <protection locked="0" hidden="1"/>
    </xf>
    <xf numFmtId="0" fontId="0" fillId="4" borderId="3" xfId="0" applyFont="1" applyFill="1" applyBorder="1" applyAlignment="1" applyProtection="1">
      <alignment horizontal="center" vertical="center" wrapText="1"/>
      <protection locked="0" hidden="1"/>
    </xf>
    <xf numFmtId="0" fontId="0" fillId="4" borderId="26" xfId="0" applyFont="1" applyFill="1" applyBorder="1" applyAlignment="1" applyProtection="1">
      <alignment horizontal="center" vertical="center" wrapText="1"/>
      <protection locked="0" hidden="1"/>
    </xf>
    <xf numFmtId="0" fontId="0" fillId="4" borderId="1" xfId="0" applyFont="1" applyFill="1" applyBorder="1" applyAlignment="1" applyProtection="1">
      <alignment horizontal="center" vertical="center" wrapText="1"/>
      <protection locked="0" hidden="1"/>
    </xf>
    <xf numFmtId="0" fontId="0" fillId="4" borderId="5" xfId="0" applyFill="1" applyBorder="1" applyAlignment="1" applyProtection="1">
      <alignment horizontal="center" vertical="center" wrapText="1"/>
      <protection locked="0" hidden="1"/>
    </xf>
    <xf numFmtId="0" fontId="0" fillId="4" borderId="19" xfId="0" applyFill="1" applyBorder="1" applyAlignment="1" applyProtection="1">
      <alignment horizontal="center" vertical="center"/>
      <protection locked="0" hidden="1"/>
    </xf>
    <xf numFmtId="0" fontId="0" fillId="4" borderId="13" xfId="0" applyFill="1" applyBorder="1" applyAlignment="1" applyProtection="1">
      <alignment horizontal="center" vertical="center"/>
      <protection locked="0" hidden="1"/>
    </xf>
    <xf numFmtId="0" fontId="0" fillId="4" borderId="5" xfId="0" applyFill="1" applyBorder="1" applyAlignment="1" applyProtection="1">
      <alignment horizontal="center" vertical="center"/>
      <protection locked="0" hidden="1"/>
    </xf>
    <xf numFmtId="0" fontId="0" fillId="4" borderId="58" xfId="0" applyFill="1" applyBorder="1" applyAlignment="1" applyProtection="1">
      <alignment horizontal="center" vertical="center"/>
      <protection locked="0" hidden="1"/>
    </xf>
    <xf numFmtId="0" fontId="0" fillId="4" borderId="18" xfId="0" applyFill="1" applyBorder="1" applyAlignment="1" applyProtection="1">
      <alignment horizontal="center" vertical="center"/>
      <protection locked="0" hidden="1"/>
    </xf>
    <xf numFmtId="0" fontId="0" fillId="4" borderId="0" xfId="0" applyFill="1" applyBorder="1" applyAlignment="1" applyProtection="1">
      <alignment horizontal="center" vertical="center"/>
      <protection locked="0" hidden="1"/>
    </xf>
    <xf numFmtId="0" fontId="0" fillId="4" borderId="14" xfId="0" applyFill="1" applyBorder="1" applyAlignment="1" applyProtection="1">
      <alignment horizontal="center" vertical="center"/>
      <protection locked="0" hidden="1"/>
    </xf>
    <xf numFmtId="0" fontId="0" fillId="4" borderId="15" xfId="0" applyFill="1" applyBorder="1" applyAlignment="1" applyProtection="1">
      <alignment horizontal="center" vertical="center"/>
      <protection locked="0" hidden="1"/>
    </xf>
    <xf numFmtId="0" fontId="0" fillId="4" borderId="26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4" xfId="0" applyFill="1" applyBorder="1" applyAlignment="1" applyProtection="1">
      <alignment horizontal="center"/>
      <protection locked="0" hidden="1"/>
    </xf>
    <xf numFmtId="0" fontId="0" fillId="4" borderId="41" xfId="0" applyFill="1" applyBorder="1" applyAlignment="1" applyProtection="1">
      <alignment horizontal="center"/>
      <protection locked="0" hidden="1"/>
    </xf>
    <xf numFmtId="0" fontId="0" fillId="4" borderId="19" xfId="0" applyFill="1" applyBorder="1" applyAlignment="1" applyProtection="1">
      <alignment horizontal="center"/>
      <protection locked="0" hidden="1"/>
    </xf>
    <xf numFmtId="0" fontId="0" fillId="4" borderId="13" xfId="0" applyFill="1" applyBorder="1" applyAlignment="1" applyProtection="1">
      <alignment horizontal="center"/>
      <protection locked="0" hidden="1"/>
    </xf>
    <xf numFmtId="0" fontId="0" fillId="4" borderId="72" xfId="0" applyFill="1" applyBorder="1" applyAlignment="1" applyProtection="1">
      <alignment horizontal="center"/>
      <protection locked="0" hidden="1"/>
    </xf>
    <xf numFmtId="0" fontId="0" fillId="4" borderId="16" xfId="0" applyFill="1" applyBorder="1" applyAlignment="1" applyProtection="1">
      <alignment horizontal="center"/>
      <protection locked="0" hidden="1"/>
    </xf>
    <xf numFmtId="0" fontId="0" fillId="4" borderId="5" xfId="0" applyFill="1" applyBorder="1" applyAlignment="1" applyProtection="1">
      <alignment horizontal="center"/>
      <protection locked="0" hidden="1"/>
    </xf>
    <xf numFmtId="0" fontId="0" fillId="4" borderId="58" xfId="0" applyFill="1" applyBorder="1" applyAlignment="1" applyProtection="1">
      <alignment horizontal="center"/>
      <protection locked="0" hidden="1"/>
    </xf>
    <xf numFmtId="0" fontId="0" fillId="0" borderId="36" xfId="0" applyFont="1" applyBorder="1" applyAlignment="1" applyProtection="1">
      <alignment horizontal="center" vertical="center"/>
      <protection hidden="1"/>
    </xf>
    <xf numFmtId="0" fontId="0" fillId="0" borderId="71" xfId="0" applyFont="1" applyBorder="1" applyAlignment="1" applyProtection="1">
      <alignment horizontal="center" vertical="center"/>
      <protection hidden="1"/>
    </xf>
    <xf numFmtId="0" fontId="20" fillId="5" borderId="9" xfId="0" applyFont="1" applyFill="1" applyBorder="1" applyAlignment="1" applyProtection="1">
      <alignment horizontal="center" vertical="center"/>
      <protection hidden="1"/>
    </xf>
    <xf numFmtId="0" fontId="20" fillId="5" borderId="11" xfId="0" applyFont="1" applyFill="1" applyBorder="1" applyAlignment="1" applyProtection="1">
      <alignment horizontal="center" vertical="center"/>
      <protection hidden="1"/>
    </xf>
    <xf numFmtId="0" fontId="20" fillId="5" borderId="14" xfId="0" applyFont="1" applyFill="1" applyBorder="1" applyAlignment="1" applyProtection="1">
      <alignment horizontal="center" vertical="center"/>
      <protection hidden="1"/>
    </xf>
    <xf numFmtId="0" fontId="20" fillId="5" borderId="16" xfId="0" applyFont="1" applyFill="1" applyBorder="1" applyAlignment="1" applyProtection="1">
      <alignment horizontal="center" vertical="center"/>
      <protection hidden="1"/>
    </xf>
    <xf numFmtId="44" fontId="21" fillId="4" borderId="9" xfId="5" applyFont="1" applyFill="1" applyBorder="1" applyAlignment="1" applyProtection="1">
      <alignment horizontal="center" vertical="center"/>
      <protection locked="0" hidden="1"/>
    </xf>
    <xf numFmtId="44" fontId="21" fillId="4" borderId="11" xfId="5" applyFont="1" applyFill="1" applyBorder="1" applyAlignment="1" applyProtection="1">
      <alignment horizontal="center" vertical="center"/>
      <protection locked="0" hidden="1"/>
    </xf>
    <xf numFmtId="44" fontId="21" fillId="4" borderId="14" xfId="5" applyFont="1" applyFill="1" applyBorder="1" applyAlignment="1" applyProtection="1">
      <alignment horizontal="center" vertical="center"/>
      <protection locked="0" hidden="1"/>
    </xf>
    <xf numFmtId="44" fontId="21" fillId="4" borderId="16" xfId="5" applyFont="1" applyFill="1" applyBorder="1" applyAlignment="1" applyProtection="1">
      <alignment horizontal="center" vertical="center"/>
      <protection locked="0" hidden="1"/>
    </xf>
    <xf numFmtId="44" fontId="20" fillId="4" borderId="9" xfId="5" applyFont="1" applyFill="1" applyBorder="1" applyAlignment="1" applyProtection="1">
      <alignment horizontal="center" vertical="center"/>
      <protection locked="0" hidden="1"/>
    </xf>
    <xf numFmtId="44" fontId="20" fillId="4" borderId="11" xfId="5" applyFont="1" applyFill="1" applyBorder="1" applyAlignment="1" applyProtection="1">
      <alignment horizontal="center" vertical="center"/>
      <protection locked="0" hidden="1"/>
    </xf>
    <xf numFmtId="44" fontId="20" fillId="4" borderId="14" xfId="5" applyFont="1" applyFill="1" applyBorder="1" applyAlignment="1" applyProtection="1">
      <alignment horizontal="center" vertical="center"/>
      <protection locked="0" hidden="1"/>
    </xf>
    <xf numFmtId="44" fontId="20" fillId="4" borderId="16" xfId="5" applyFont="1" applyFill="1" applyBorder="1" applyAlignment="1" applyProtection="1">
      <alignment horizontal="center" vertical="center"/>
      <protection locked="0" hidden="1"/>
    </xf>
    <xf numFmtId="0" fontId="9" fillId="5" borderId="36" xfId="0" applyFont="1" applyFill="1" applyBorder="1" applyAlignment="1" applyProtection="1">
      <alignment horizontal="center" vertical="center"/>
      <protection locked="0" hidden="1"/>
    </xf>
    <xf numFmtId="0" fontId="9" fillId="5" borderId="71" xfId="0" applyFont="1" applyFill="1" applyBorder="1" applyAlignment="1" applyProtection="1">
      <alignment horizontal="center" vertical="center"/>
      <protection locked="0" hidden="1"/>
    </xf>
    <xf numFmtId="166" fontId="16" fillId="8" borderId="36" xfId="5" applyNumberFormat="1" applyFont="1" applyFill="1" applyBorder="1" applyAlignment="1" applyProtection="1">
      <alignment horizontal="center" vertical="center"/>
      <protection locked="0" hidden="1"/>
    </xf>
    <xf numFmtId="166" fontId="16" fillId="8" borderId="71" xfId="5" applyNumberFormat="1" applyFont="1" applyFill="1" applyBorder="1" applyAlignment="1" applyProtection="1">
      <alignment horizontal="center" vertical="center"/>
      <protection locked="0" hidden="1"/>
    </xf>
    <xf numFmtId="0" fontId="16" fillId="0" borderId="38" xfId="0" applyFont="1" applyFill="1" applyBorder="1" applyAlignment="1" applyProtection="1">
      <alignment horizontal="center"/>
      <protection locked="0" hidden="1"/>
    </xf>
    <xf numFmtId="0" fontId="16" fillId="0" borderId="39" xfId="0" applyFont="1" applyFill="1" applyBorder="1" applyAlignment="1" applyProtection="1">
      <alignment horizontal="center"/>
      <protection locked="0" hidden="1"/>
    </xf>
    <xf numFmtId="0" fontId="16" fillId="0" borderId="63" xfId="0" applyFont="1" applyFill="1" applyBorder="1" applyAlignment="1" applyProtection="1">
      <alignment horizontal="center"/>
      <protection locked="0" hidden="1"/>
    </xf>
    <xf numFmtId="0" fontId="16" fillId="4" borderId="38" xfId="0" applyFont="1" applyFill="1" applyBorder="1" applyAlignment="1" applyProtection="1">
      <alignment horizontal="center"/>
      <protection hidden="1"/>
    </xf>
    <xf numFmtId="0" fontId="16" fillId="4" borderId="63" xfId="0" applyFont="1" applyFill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left"/>
      <protection hidden="1"/>
    </xf>
    <xf numFmtId="0" fontId="0" fillId="0" borderId="63" xfId="0" applyFont="1" applyBorder="1" applyAlignment="1" applyProtection="1">
      <alignment horizontal="left"/>
      <protection hidden="1"/>
    </xf>
    <xf numFmtId="0" fontId="0" fillId="0" borderId="12" xfId="0" applyFont="1" applyBorder="1" applyAlignment="1" applyProtection="1">
      <alignment horizontal="left" vertical="center"/>
      <protection hidden="1"/>
    </xf>
    <xf numFmtId="0" fontId="0" fillId="0" borderId="13" xfId="0" applyFont="1" applyBorder="1" applyAlignment="1" applyProtection="1">
      <alignment horizontal="left" vertical="center"/>
      <protection hidden="1"/>
    </xf>
    <xf numFmtId="0" fontId="0" fillId="0" borderId="14" xfId="0" applyFont="1" applyBorder="1" applyAlignment="1" applyProtection="1">
      <alignment horizontal="left" vertical="center"/>
      <protection hidden="1"/>
    </xf>
    <xf numFmtId="0" fontId="0" fillId="0" borderId="16" xfId="0" applyFont="1" applyBorder="1" applyAlignment="1" applyProtection="1">
      <alignment horizontal="left" vertical="center"/>
      <protection hidden="1"/>
    </xf>
    <xf numFmtId="0" fontId="0" fillId="0" borderId="14" xfId="0" applyFont="1" applyBorder="1" applyAlignment="1" applyProtection="1">
      <alignment horizontal="left"/>
      <protection hidden="1"/>
    </xf>
    <xf numFmtId="0" fontId="0" fillId="0" borderId="16" xfId="0" applyFont="1" applyBorder="1" applyAlignment="1" applyProtection="1">
      <alignment horizontal="left"/>
      <protection hidden="1"/>
    </xf>
    <xf numFmtId="0" fontId="0" fillId="0" borderId="9" xfId="0" applyFont="1" applyBorder="1" applyAlignment="1" applyProtection="1">
      <alignment horizontal="left" vertical="center"/>
      <protection hidden="1"/>
    </xf>
    <xf numFmtId="0" fontId="0" fillId="0" borderId="11" xfId="0" applyFont="1" applyBorder="1" applyAlignment="1" applyProtection="1">
      <alignment horizontal="left" vertical="center"/>
      <protection hidden="1"/>
    </xf>
    <xf numFmtId="0" fontId="0" fillId="0" borderId="12" xfId="0" applyFont="1" applyFill="1" applyBorder="1" applyAlignment="1" applyProtection="1">
      <alignment horizontal="left"/>
      <protection hidden="1"/>
    </xf>
    <xf numFmtId="0" fontId="0" fillId="0" borderId="13" xfId="0" applyFont="1" applyFill="1" applyBorder="1" applyAlignment="1" applyProtection="1">
      <alignment horizontal="left"/>
      <protection hidden="1"/>
    </xf>
    <xf numFmtId="0" fontId="8" fillId="5" borderId="9" xfId="0" applyFont="1" applyFill="1" applyBorder="1" applyAlignment="1" applyProtection="1">
      <alignment horizontal="center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0" fontId="8" fillId="5" borderId="15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9" fillId="5" borderId="9" xfId="0" applyFont="1" applyFill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 applyProtection="1">
      <alignment horizontal="center" vertical="center"/>
      <protection hidden="1"/>
    </xf>
    <xf numFmtId="0" fontId="9" fillId="5" borderId="11" xfId="0" applyFont="1" applyFill="1" applyBorder="1" applyAlignment="1" applyProtection="1">
      <alignment horizontal="center" vertical="center"/>
      <protection hidden="1"/>
    </xf>
    <xf numFmtId="0" fontId="9" fillId="5" borderId="14" xfId="0" applyFont="1" applyFill="1" applyBorder="1" applyAlignment="1" applyProtection="1">
      <alignment horizontal="center" vertical="center"/>
      <protection hidden="1"/>
    </xf>
    <xf numFmtId="0" fontId="9" fillId="5" borderId="15" xfId="0" applyFont="1" applyFill="1" applyBorder="1" applyAlignment="1" applyProtection="1">
      <alignment horizontal="center" vertical="center"/>
      <protection hidden="1"/>
    </xf>
    <xf numFmtId="0" fontId="9" fillId="5" borderId="16" xfId="0" applyFont="1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0" fillId="0" borderId="9" xfId="0" applyFont="1" applyBorder="1" applyAlignment="1" applyProtection="1">
      <alignment horizontal="left"/>
      <protection hidden="1"/>
    </xf>
    <xf numFmtId="0" fontId="0" fillId="0" borderId="11" xfId="0" applyFont="1" applyBorder="1" applyAlignment="1" applyProtection="1">
      <alignment horizontal="left"/>
      <protection hidden="1"/>
    </xf>
    <xf numFmtId="0" fontId="0" fillId="0" borderId="14" xfId="0" applyFont="1" applyFill="1" applyBorder="1" applyAlignment="1" applyProtection="1">
      <alignment horizontal="left"/>
      <protection hidden="1"/>
    </xf>
    <xf numFmtId="0" fontId="0" fillId="0" borderId="16" xfId="0" applyFont="1" applyFill="1" applyBorder="1" applyAlignment="1" applyProtection="1">
      <alignment horizontal="left"/>
      <protection hidden="1"/>
    </xf>
    <xf numFmtId="0" fontId="0" fillId="0" borderId="12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9" xfId="0" applyFont="1" applyFill="1" applyBorder="1" applyAlignment="1" applyProtection="1">
      <alignment horizontal="left"/>
      <protection hidden="1"/>
    </xf>
    <xf numFmtId="0" fontId="0" fillId="0" borderId="11" xfId="0" applyFont="1" applyFill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left"/>
      <protection hidden="1"/>
    </xf>
    <xf numFmtId="0" fontId="0" fillId="0" borderId="63" xfId="0" applyBorder="1" applyAlignment="1" applyProtection="1">
      <alignment horizontal="left"/>
      <protection hidden="1"/>
    </xf>
    <xf numFmtId="0" fontId="0" fillId="0" borderId="15" xfId="0" applyFont="1" applyFill="1" applyBorder="1" applyAlignment="1" applyProtection="1">
      <alignment horizontal="left"/>
      <protection hidden="1"/>
    </xf>
    <xf numFmtId="10" fontId="0" fillId="5" borderId="36" xfId="1" applyNumberFormat="1" applyFont="1" applyFill="1" applyBorder="1" applyAlignment="1" applyProtection="1">
      <alignment horizontal="center" vertical="center"/>
      <protection hidden="1"/>
    </xf>
    <xf numFmtId="10" fontId="0" fillId="5" borderId="37" xfId="1" applyNumberFormat="1" applyFont="1" applyFill="1" applyBorder="1" applyAlignment="1" applyProtection="1">
      <alignment horizontal="center" vertical="center"/>
      <protection hidden="1"/>
    </xf>
    <xf numFmtId="10" fontId="0" fillId="5" borderId="71" xfId="1" applyNumberFormat="1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13" xfId="0" applyFont="1" applyFill="1" applyBorder="1" applyAlignment="1" applyProtection="1">
      <alignment horizontal="center" vertical="center" wrapText="1"/>
      <protection hidden="1"/>
    </xf>
    <xf numFmtId="0" fontId="2" fillId="5" borderId="14" xfId="0" applyFont="1" applyFill="1" applyBorder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</cellXfs>
  <cellStyles count="6">
    <cellStyle name="Moeda" xfId="5" builtinId="4"/>
    <cellStyle name="Moeda 2" xfId="2" xr:uid="{FE7F8484-FECB-47D7-A03A-0E06C7AB4C39}"/>
    <cellStyle name="Normal" xfId="0" builtinId="0"/>
    <cellStyle name="Porcentagem" xfId="1" builtinId="5"/>
    <cellStyle name="Separador de milhares 3" xfId="3" xr:uid="{1CA1C9B5-5A14-408E-B509-2F79BB173C2B}"/>
    <cellStyle name="Vírgula" xfId="4" builtinId="3"/>
  </cellStyles>
  <dxfs count="85">
    <dxf>
      <numFmt numFmtId="12" formatCode="&quot;R$&quot;\ #,##0.00;[Red]\-&quot;R$&quot;\ #,##0.00"/>
      <fill>
        <patternFill>
          <fgColor rgb="FFFF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_-;\-* #,##0_-;_-* &quot;-&quot;??_-;_-@_-"/>
      <fill>
        <patternFill patternType="none">
          <fgColor theme="6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_-;\-* #,##0_-;_-* &quot;-&quot;??_-;_-@_-"/>
      <fill>
        <patternFill patternType="none">
          <fgColor theme="6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4830E"/>
      <color rgb="FFFFCC66"/>
      <color rgb="FFCC380A"/>
      <color rgb="FFF55B2B"/>
      <color rgb="FFCC9B00"/>
      <color rgb="FFFF1D1D"/>
      <color rgb="FFFEC526"/>
      <color rgb="FFFB6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841845972462E-2"/>
          <c:y val="6.5260523899616049E-2"/>
          <c:w val="0.58817971283001391"/>
          <c:h val="0.90713423710422347"/>
        </c:manualLayout>
      </c:layout>
      <c:pieChart>
        <c:varyColors val="1"/>
        <c:ser>
          <c:idx val="0"/>
          <c:order val="0"/>
          <c:tx>
            <c:strRef>
              <c:f>'Fluxo de Caixa'!$AB$39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F-41AE-A1FB-D9809733A5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F-41AE-A1FB-D9809733A5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F-41AE-A1FB-D9809733A5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F-41AE-A1FB-D9809733A5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F-41AE-A1FB-D9809733A5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F-41AE-A1FB-D9809733A5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F-41AE-A1FB-D9809733A5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DBF-41AE-A1FB-D9809733A5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DBF-41AE-A1FB-D9809733A5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DBF-41AE-A1FB-D9809733A5C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DBF-41AE-A1FB-D9809733A5C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DBF-41AE-A1FB-D9809733A5C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DBF-41AE-A1FB-D9809733A5C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DBF-41AE-A1FB-D9809733A5C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'Fluxo de Caixa'!$AA$40:$AA$53</c:f>
              <c:strCache>
                <c:ptCount val="14"/>
                <c:pt idx="0">
                  <c:v>Manejo sanitário e reprodutivo</c:v>
                </c:pt>
                <c:pt idx="1">
                  <c:v>Suplementação</c:v>
                </c:pt>
                <c:pt idx="2">
                  <c:v>Pastagem</c:v>
                </c:pt>
                <c:pt idx="3">
                  <c:v>Forrageira</c:v>
                </c:pt>
                <c:pt idx="4">
                  <c:v>Mão de obra</c:v>
                </c:pt>
                <c:pt idx="5">
                  <c:v>Manutenção</c:v>
                </c:pt>
                <c:pt idx="6">
                  <c:v>Impostos e taxas</c:v>
                </c:pt>
                <c:pt idx="7">
                  <c:v>Financeiras</c:v>
                </c:pt>
                <c:pt idx="8">
                  <c:v>Transporte de animal</c:v>
                </c:pt>
                <c:pt idx="9">
                  <c:v>Arrendamento</c:v>
                </c:pt>
                <c:pt idx="10">
                  <c:v>Combustível máquinário</c:v>
                </c:pt>
                <c:pt idx="11">
                  <c:v>Combustível pessoal</c:v>
                </c:pt>
                <c:pt idx="12">
                  <c:v>Compra de animais</c:v>
                </c:pt>
                <c:pt idx="13">
                  <c:v>Pró-labore</c:v>
                </c:pt>
              </c:strCache>
            </c:strRef>
          </c:cat>
          <c:val>
            <c:numRef>
              <c:f>'Fluxo de Caixa'!$AB$40:$AB$53</c:f>
              <c:numCache>
                <c:formatCode>0%</c:formatCode>
                <c:ptCount val="14"/>
                <c:pt idx="0">
                  <c:v>3.8602586373287014E-2</c:v>
                </c:pt>
                <c:pt idx="1">
                  <c:v>0.28951939779965258</c:v>
                </c:pt>
                <c:pt idx="2">
                  <c:v>9.6506465933217531E-2</c:v>
                </c:pt>
                <c:pt idx="3">
                  <c:v>9.6506465933217531E-2</c:v>
                </c:pt>
                <c:pt idx="4">
                  <c:v>0</c:v>
                </c:pt>
                <c:pt idx="5">
                  <c:v>1.9301293186643506E-3</c:v>
                </c:pt>
                <c:pt idx="6">
                  <c:v>2.3161551823972205E-2</c:v>
                </c:pt>
                <c:pt idx="7">
                  <c:v>2.3740590619571511E-2</c:v>
                </c:pt>
                <c:pt idx="8">
                  <c:v>0</c:v>
                </c:pt>
                <c:pt idx="9">
                  <c:v>4.8253232966608765E-2</c:v>
                </c:pt>
                <c:pt idx="10">
                  <c:v>0</c:v>
                </c:pt>
                <c:pt idx="11">
                  <c:v>1.0036672457054623E-2</c:v>
                </c:pt>
                <c:pt idx="12">
                  <c:v>0</c:v>
                </c:pt>
                <c:pt idx="13">
                  <c:v>0.28951939779965258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4B63-957E-8BCCA286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32446278439794"/>
          <c:y val="8.8274589011689032E-3"/>
          <c:w val="0.33711048158640228"/>
          <c:h val="0.97969431899701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2022250883562"/>
          <c:y val="2.936108382062275E-2"/>
          <c:w val="0.88657845312090267"/>
          <c:h val="0.81563914713929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'Fluxo de Caixa'!$Z$11</c:f>
              <c:strCache>
                <c:ptCount val="1"/>
                <c:pt idx="0">
                  <c:v>Receita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'Fluxo de Caixa'!$Y$12:$Y$23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Caixa'!$Z$12:$Z$23</c:f>
              <c:numCache>
                <c:formatCode>_("R$"* #,##0.00_);_("R$"* \(#,##0.00\);_("R$"* "-"??_);_(@_)</c:formatCode>
                <c:ptCount val="12"/>
                <c:pt idx="0">
                  <c:v>48800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9-446D-958F-779A61419869}"/>
            </c:ext>
          </c:extLst>
        </c:ser>
        <c:ser>
          <c:idx val="1"/>
          <c:order val="1"/>
          <c:tx>
            <c:strRef>
              <c:f>'Fluxo de Caixa'!$AA$11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'Fluxo de Caixa'!$Y$12:$Y$23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Caixa'!$AA$12:$AA$23</c:f>
              <c:numCache>
                <c:formatCode>_("R$"* #,##0.00_);_("R$"* \(#,##0.00\);_("R$"* "-"??_);_(@_)</c:formatCode>
                <c:ptCount val="12"/>
                <c:pt idx="0">
                  <c:v>-5181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9-446D-958F-779A6141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0217600"/>
        <c:axId val="2100218016"/>
      </c:barChart>
      <c:lineChart>
        <c:grouping val="stacked"/>
        <c:varyColors val="0"/>
        <c:ser>
          <c:idx val="2"/>
          <c:order val="2"/>
          <c:tx>
            <c:strRef>
              <c:f>'Fluxo de Caixa'!$AB$11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'Fluxo de Caixa'!$Y$12:$Y$23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Caixa'!$AB$12:$AB$23</c:f>
              <c:numCache>
                <c:formatCode>_("R$"* #,##0.00_);_("R$"* \(#,##0.00\);_("R$"* "-"??_);_(@_)</c:formatCode>
                <c:ptCount val="12"/>
                <c:pt idx="0">
                  <c:v>43619</c:v>
                </c:pt>
                <c:pt idx="1">
                  <c:v>43619</c:v>
                </c:pt>
                <c:pt idx="2">
                  <c:v>43619</c:v>
                </c:pt>
                <c:pt idx="3">
                  <c:v>43619</c:v>
                </c:pt>
                <c:pt idx="4">
                  <c:v>43619</c:v>
                </c:pt>
                <c:pt idx="5">
                  <c:v>43619</c:v>
                </c:pt>
                <c:pt idx="6">
                  <c:v>43619</c:v>
                </c:pt>
                <c:pt idx="7">
                  <c:v>43619</c:v>
                </c:pt>
                <c:pt idx="8">
                  <c:v>43619</c:v>
                </c:pt>
                <c:pt idx="9">
                  <c:v>43619</c:v>
                </c:pt>
                <c:pt idx="10">
                  <c:v>43619</c:v>
                </c:pt>
                <c:pt idx="11">
                  <c:v>43619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79-446D-958F-779A6141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217600"/>
        <c:axId val="2100218016"/>
      </c:lineChart>
      <c:catAx>
        <c:axId val="21002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0218016"/>
        <c:crosses val="autoZero"/>
        <c:auto val="1"/>
        <c:lblAlgn val="ctr"/>
        <c:lblOffset val="100"/>
        <c:noMultiLvlLbl val="0"/>
      </c:catAx>
      <c:valAx>
        <c:axId val="2100218016"/>
        <c:scaling>
          <c:orientation val="minMax"/>
          <c:max val="250000"/>
          <c:min val="-250000"/>
        </c:scaling>
        <c:delete val="0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021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05385125980822"/>
          <c:y val="0.91108151102354129"/>
          <c:w val="0.26389229748038351"/>
          <c:h val="7.8626590753337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29</xdr:row>
      <xdr:rowOff>135286</xdr:rowOff>
    </xdr:from>
    <xdr:to>
      <xdr:col>3</xdr:col>
      <xdr:colOff>907509</xdr:colOff>
      <xdr:row>33</xdr:row>
      <xdr:rowOff>15767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5EC73-C270-4835-9436-B74897736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5012086"/>
          <a:ext cx="669384" cy="642481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790574</xdr:colOff>
      <xdr:row>29</xdr:row>
      <xdr:rowOff>85725</xdr:rowOff>
    </xdr:from>
    <xdr:to>
      <xdr:col>3</xdr:col>
      <xdr:colOff>2204347</xdr:colOff>
      <xdr:row>33</xdr:row>
      <xdr:rowOff>167301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DB4D2C-FDE1-45AC-B418-682483FB1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4" y="4962525"/>
          <a:ext cx="1413773" cy="843576"/>
        </a:xfrm>
        <a:prstGeom prst="rect">
          <a:avLst/>
        </a:prstGeom>
      </xdr:spPr>
    </xdr:pic>
    <xdr:clientData/>
  </xdr:twoCellAnchor>
  <xdr:twoCellAnchor>
    <xdr:from>
      <xdr:col>3</xdr:col>
      <xdr:colOff>1006186</xdr:colOff>
      <xdr:row>30</xdr:row>
      <xdr:rowOff>16633</xdr:rowOff>
    </xdr:from>
    <xdr:to>
      <xdr:col>3</xdr:col>
      <xdr:colOff>1006188</xdr:colOff>
      <xdr:row>32</xdr:row>
      <xdr:rowOff>25292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1A561566-4410-40D2-8943-13D4F64E2C6F}"/>
            </a:ext>
          </a:extLst>
        </xdr:cNvPr>
        <xdr:cNvCxnSpPr/>
      </xdr:nvCxnSpPr>
      <xdr:spPr>
        <a:xfrm>
          <a:off x="3101686" y="5083933"/>
          <a:ext cx="2" cy="389659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43794</xdr:colOff>
      <xdr:row>33</xdr:row>
      <xdr:rowOff>0</xdr:rowOff>
    </xdr:from>
    <xdr:to>
      <xdr:col>31</xdr:col>
      <xdr:colOff>1138621</xdr:colOff>
      <xdr:row>59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450AE0-4331-43B3-B9DB-FEBB69881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416036</xdr:colOff>
      <xdr:row>4</xdr:row>
      <xdr:rowOff>97111</xdr:rowOff>
    </xdr:from>
    <xdr:to>
      <xdr:col>31</xdr:col>
      <xdr:colOff>1456121</xdr:colOff>
      <xdr:row>24</xdr:row>
      <xdr:rowOff>186121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038D50-9327-435A-B067-26E5850E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Novo%20IMEA\Users\Marcelo\Documents\Custo%20de%20Produ&#231;&#227;o\Paineis\Paineis%20de%2003.17%20velha%20metodologia\Corte\recria_engorda_pontes%20e%20lacerda%20%202016%20Oes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Novo%20IMEA\Users\Marcelo\Documents\Custo%20de%20Produ&#231;&#227;o\Paineis\Soja%20e%20Milho\CAMPO%20VERDE%20-%20SojM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ções"/>
      <sheetName val="Atualização_Mensal"/>
      <sheetName val="Rebanho"/>
      <sheetName val="Inventário"/>
      <sheetName val="Pastagem"/>
      <sheetName val="Forrageira anual"/>
      <sheetName val="Forrageira perene"/>
      <sheetName val="Sanidade e Suplementação"/>
      <sheetName val="DRE"/>
      <sheetName val="Relatorio"/>
      <sheetName val="Resumo_2"/>
      <sheetName val="Outras despesas"/>
      <sheetName val="DAD"/>
    </sheetNames>
    <sheetDataSet>
      <sheetData sheetId="0" refreshError="1"/>
      <sheetData sheetId="1" refreshError="1"/>
      <sheetData sheetId="2" refreshError="1"/>
      <sheetData sheetId="3">
        <row r="123">
          <cell r="B123" t="str">
            <v>Grade niveladora 28 discos</v>
          </cell>
        </row>
        <row r="124">
          <cell r="B124" t="str">
            <v>Grade Pesada 4 discos</v>
          </cell>
        </row>
        <row r="125">
          <cell r="B125" t="str">
            <v>Roçadeira</v>
          </cell>
        </row>
        <row r="126">
          <cell r="B126" t="str">
            <v>Vicon</v>
          </cell>
        </row>
        <row r="127">
          <cell r="B127" t="str">
            <v>Pulverizador 600l</v>
          </cell>
        </row>
        <row r="128">
          <cell r="B128" t="str">
            <v>Guincho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ções"/>
      <sheetName val="Insumos"/>
      <sheetName val="Inventário"/>
      <sheetName val="Pós Colheita"/>
      <sheetName val="Soja"/>
      <sheetName val="Milho"/>
      <sheetName val="custo tecnologia soja"/>
      <sheetName val="Resultado Milho"/>
      <sheetName val="Resumo Soja"/>
      <sheetName val="Resumo Milho"/>
      <sheetName val="DRE"/>
      <sheetName val="DAD"/>
      <sheetName val="Table 1"/>
      <sheetName val="Table 2"/>
      <sheetName val="Plan7"/>
      <sheetName val="Índice"/>
      <sheetName val="ATU"/>
      <sheetName val="MP"/>
      <sheetName val="LEG"/>
      <sheetName val="FLUXO"/>
      <sheetName val="Plan2"/>
      <sheetName val="Plan3"/>
      <sheetName val="Plan4"/>
      <sheetName val="INICIO"/>
      <sheetName val="Planilha3"/>
      <sheetName val="TER"/>
      <sheetName val="BN"/>
      <sheetName val="MQ1"/>
      <sheetName val="IP1"/>
      <sheetName val="EQ"/>
      <sheetName val="UTI"/>
      <sheetName val="SOJ"/>
      <sheetName val="MIL"/>
      <sheetName val="ALG"/>
      <sheetName val="IMS"/>
      <sheetName val="MQ2"/>
      <sheetName val="IP2"/>
      <sheetName val="MIU"/>
      <sheetName val="MO"/>
      <sheetName val="FIN"/>
      <sheetName val="DES"/>
      <sheetName val="IMP"/>
      <sheetName val="RelS"/>
      <sheetName val="GraS"/>
      <sheetName val="RelM"/>
      <sheetName val="GraM"/>
      <sheetName val="RelA"/>
      <sheetName val="GraA"/>
      <sheetName val="RELATORIO_FINAL"/>
      <sheetName val="Plan1"/>
      <sheetName val="BD"/>
      <sheetName val="TABELA_RELATORIO"/>
    </sheetNames>
    <sheetDataSet>
      <sheetData sheetId="0"/>
      <sheetData sheetId="1">
        <row r="4">
          <cell r="C4" t="str">
            <v>Sudeste</v>
          </cell>
        </row>
      </sheetData>
      <sheetData sheetId="2">
        <row r="92">
          <cell r="B92" t="str">
            <v>Trator Pequeno</v>
          </cell>
        </row>
        <row r="93">
          <cell r="B93" t="str">
            <v>Trator Médio</v>
          </cell>
        </row>
        <row r="94">
          <cell r="B94" t="str">
            <v>Trator Grande</v>
          </cell>
        </row>
        <row r="95">
          <cell r="B95" t="str">
            <v>Auto Propelido</v>
          </cell>
        </row>
        <row r="96">
          <cell r="B96" t="str">
            <v>Colhetadeira 30</v>
          </cell>
        </row>
        <row r="97">
          <cell r="B97" t="str">
            <v>Colhetadeira 23</v>
          </cell>
        </row>
        <row r="98">
          <cell r="B98" t="str">
            <v>Pá Carregadeira</v>
          </cell>
        </row>
        <row r="99">
          <cell r="B99" t="str">
            <v>Caminhão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22">
          <cell r="B122" t="str">
            <v>Carreta agrícola 4 rodas</v>
          </cell>
        </row>
        <row r="123">
          <cell r="B123" t="str">
            <v>Carreta Canudo</v>
          </cell>
        </row>
        <row r="124">
          <cell r="B124" t="str">
            <v>Conjunto PAD</v>
          </cell>
        </row>
        <row r="125">
          <cell r="B125" t="str">
            <v>Distribuidor de Adubo e Calcário</v>
          </cell>
        </row>
        <row r="126">
          <cell r="B126" t="str">
            <v>Grade Aradora</v>
          </cell>
        </row>
        <row r="127">
          <cell r="B127" t="str">
            <v>Grade Niveladora</v>
          </cell>
        </row>
        <row r="128">
          <cell r="B128" t="str">
            <v>Máquina de Tratar Semente</v>
          </cell>
        </row>
        <row r="129">
          <cell r="B129" t="str">
            <v>Plantadora 26 linhas</v>
          </cell>
        </row>
        <row r="130">
          <cell r="B130" t="str">
            <v>Tanque de Água</v>
          </cell>
        </row>
        <row r="131">
          <cell r="B131" t="str">
            <v>Subsolador</v>
          </cell>
        </row>
        <row r="132">
          <cell r="B132" t="str">
            <v>Triton</v>
          </cell>
        </row>
        <row r="133">
          <cell r="B133" t="str">
            <v>Plataforma de Milho 10 linhas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</sheetData>
      <sheetData sheetId="3">
        <row r="5">
          <cell r="M5">
            <v>0.6</v>
          </cell>
        </row>
        <row r="6">
          <cell r="M6">
            <v>0.4</v>
          </cell>
        </row>
        <row r="7">
          <cell r="M7">
            <v>0</v>
          </cell>
        </row>
      </sheetData>
      <sheetData sheetId="4">
        <row r="3">
          <cell r="E3" t="str">
            <v>Calcário Dolomítico</v>
          </cell>
        </row>
      </sheetData>
      <sheetData sheetId="5">
        <row r="3">
          <cell r="E3" t="str">
            <v>Glifosato 480 SL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C078B7-9558-4B08-8CAD-21ED06DABBA9}" name="Tabela2" displayName="Tabela2" ref="A1:C13" totalsRowShown="0" headerRowDxfId="84" dataDxfId="83">
  <tableColumns count="3">
    <tableColumn id="1" xr3:uid="{9BF2DFDE-E924-45A0-91D2-62C2F0C85779}" name="Trimestre" dataDxfId="82"/>
    <tableColumn id="2" xr3:uid="{4A7185C6-0A92-41DE-A4E6-BB47E96D503E}" name="Mês base" dataDxfId="81"/>
    <tableColumn id="3" xr3:uid="{7FF4BBA5-1B2A-4336-ADA0-88D85E461DDA}" name="Linha" dataDxfId="80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3F0F6B4-5222-4B8B-BB9B-3DC22E660F53}" name="Tabela8" displayName="Tabela8" ref="A16:A18" totalsRowShown="0" headerRowDxfId="53" dataDxfId="52">
  <autoFilter ref="A16:A18" xr:uid="{93F0F6B4-5222-4B8B-BB9B-3DC22E660F53}"/>
  <tableColumns count="1">
    <tableColumn id="1" xr3:uid="{A0FF0468-F4AA-4186-B911-F2122E62631F}" name="Lista sim e não" dataDxfId="51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753A685-9295-4CE7-AF4C-B570C3A685A9}" name="Tabela9" displayName="Tabela9" ref="E16:E22" totalsRowShown="0" headerRowDxfId="50" dataDxfId="49">
  <autoFilter ref="E16:E22" xr:uid="{5753A685-9295-4CE7-AF4C-B570C3A685A9}"/>
  <tableColumns count="1">
    <tableColumn id="1" xr3:uid="{06CC2E4A-23F5-4FD2-8607-7366B27A794D}" name="Lista de funções" dataDxfId="48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1C34A-AEF3-4CA8-A53C-011792DFCE87}" name="Tabela6" displayName="Tabela6" ref="A20:A30" totalsRowShown="0">
  <autoFilter ref="A20:A30" xr:uid="{A251C34A-AEF3-4CA8-A53C-011792DFCE87}"/>
  <tableColumns count="1">
    <tableColumn id="1" xr3:uid="{CECED90D-ECB1-4B32-9C79-C2B72082E467}" name="Outros custos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72CD69F-F909-4C7E-A970-C56B27FFD7F0}" name="Tabela16" displayName="Tabela16" ref="P1:U37" totalsRowShown="0" headerRowDxfId="47" dataDxfId="46">
  <autoFilter ref="P1:U37" xr:uid="{672CD69F-F909-4C7E-A970-C56B27FFD7F0}"/>
  <sortState xmlns:xlrd2="http://schemas.microsoft.com/office/spreadsheetml/2017/richdata2" ref="P2:U36">
    <sortCondition ref="P1:P36"/>
  </sortState>
  <tableColumns count="6">
    <tableColumn id="1" xr3:uid="{CBC92994-80C3-4759-9091-776C0C50DCA3}" name="Implemento" dataDxfId="45"/>
    <tableColumn id="2" xr3:uid="{07A9490D-CCF3-4D57-A245-C62F07BA866D}" name="Classe" dataDxfId="44"/>
    <tableColumn id="3" xr3:uid="{02350683-EADA-4802-ABA3-98A1C3594A3E}" name="Vida útil - Anos" dataDxfId="43"/>
    <tableColumn id="4" xr3:uid="{AC830623-7B67-4AC6-8907-98809F1F7C49}" name="Vida útil - Horas" dataDxfId="42"/>
    <tableColumn id="5" xr3:uid="{6DE61647-0696-44E4-88A6-AA349AD4C7C3}" name="Vida útil - Dias" dataDxfId="41"/>
    <tableColumn id="6" xr3:uid="{C0BBECF2-16B0-4923-AB1E-E8834FB7A43A}" name="Valor Residual" dataDxfId="4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588628D-0DBA-4808-ABA3-B14BD10FB56F}" name="Tabela17" displayName="Tabela17" ref="W1:AB14" totalsRowShown="0" headerRowDxfId="39" dataDxfId="38">
  <autoFilter ref="W1:AB14" xr:uid="{A588628D-0DBA-4808-ABA3-B14BD10FB56F}"/>
  <sortState xmlns:xlrd2="http://schemas.microsoft.com/office/spreadsheetml/2017/richdata2" ref="W2:AB13">
    <sortCondition ref="W1:W13"/>
  </sortState>
  <tableColumns count="6">
    <tableColumn id="1" xr3:uid="{6C91CECF-E27D-40B9-9B77-6B383EB3E96F}" name="Maquinários" dataDxfId="37"/>
    <tableColumn id="2" xr3:uid="{4A3D5F9F-4D6F-49C3-A7B7-A861AD97B80E}" name="Classe" dataDxfId="36"/>
    <tableColumn id="3" xr3:uid="{28A23B45-DB10-467B-95A8-36D454367001}" name="Vida útil - Anos" dataDxfId="35"/>
    <tableColumn id="4" xr3:uid="{340374E9-052D-4E49-B3C0-7B33BE02393B}" name="Vida útil - Horas" dataDxfId="34"/>
    <tableColumn id="5" xr3:uid="{1DBEC61C-35B2-4CF5-BA31-E5032A327C74}" name="Vida útil - Dias" dataDxfId="33"/>
    <tableColumn id="6" xr3:uid="{0D329B84-9534-4451-A740-58190653BA36}" name="Valor Residual" dataDxfId="32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40ACDC0-C6CB-4E97-AFC6-A401C4C0733F}" name="Tabela18" displayName="Tabela18" ref="AD1:AH37" totalsRowShown="0" headerRowDxfId="31" dataDxfId="30">
  <autoFilter ref="AD1:AH37" xr:uid="{140ACDC0-C6CB-4E97-AFC6-A401C4C0733F}"/>
  <sortState xmlns:xlrd2="http://schemas.microsoft.com/office/spreadsheetml/2017/richdata2" ref="AD2:AH36">
    <sortCondition ref="AD1:AD36"/>
  </sortState>
  <tableColumns count="5">
    <tableColumn id="1" xr3:uid="{EDE6C2B6-4014-47CE-A326-B9B6658D6C47}" name="Benfeitoria" dataDxfId="29"/>
    <tableColumn id="2" xr3:uid="{E175FE97-DCF6-4160-B95A-C155D1671416}" name="Classe" dataDxfId="28"/>
    <tableColumn id="3" xr3:uid="{77560F8F-3554-406C-9665-4A31BB99BD5F}" name="Vida útil - Anos" dataDxfId="27"/>
    <tableColumn id="4" xr3:uid="{2D6F3D66-EDD9-4072-8356-DA430015FA05}" name="Valor Residual (%)" dataDxfId="26"/>
    <tableColumn id="5" xr3:uid="{B7E4547F-02BD-403E-BDEF-13780966A9BD}" name="Tipo" dataDxfId="25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D40695F-448C-4516-9AD1-1BAC24C14F1D}" name="Tabela19" displayName="Tabela19" ref="AJ1:AM24" totalsRowShown="0" headerRowDxfId="24" dataDxfId="23">
  <autoFilter ref="AJ1:AM24" xr:uid="{ED40695F-448C-4516-9AD1-1BAC24C14F1D}"/>
  <sortState xmlns:xlrd2="http://schemas.microsoft.com/office/spreadsheetml/2017/richdata2" ref="AJ2:AM23">
    <sortCondition ref="AJ1:AJ23"/>
  </sortState>
  <tableColumns count="4">
    <tableColumn id="1" xr3:uid="{C8090088-B1DF-442F-9C1E-AEF39BDF3C53}" name="Equipamentos" dataDxfId="22"/>
    <tableColumn id="2" xr3:uid="{23B0066A-7E71-4F10-BE4D-5469727693EB}" name="Classe" dataDxfId="21"/>
    <tableColumn id="3" xr3:uid="{AA36C344-3D04-4D79-8049-2EA31D891B0B}" name="Vida útil - Anos" dataDxfId="20"/>
    <tableColumn id="4" xr3:uid="{4025A1C1-6824-43E5-87F3-2226736D1746}" name="Valor Residual (%)" dataDxfId="19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4955E64-D624-47F1-A38C-D3EC79698E9E}" name="Tabela15" displayName="Tabela15" ref="AP1:AV8" totalsRowShown="0" headerRowDxfId="18" dataDxfId="16" headerRowBorderDxfId="17" tableBorderDxfId="15" totalsRowBorderDxfId="14">
  <autoFilter ref="AP1:AV8" xr:uid="{04955E64-D624-47F1-A38C-D3EC79698E9E}"/>
  <tableColumns count="7">
    <tableColumn id="1" xr3:uid="{A24C9F9B-D4EE-4ED7-8C74-A4CCF9FEBB9B}" name="Fundos/Taxas" dataDxfId="13"/>
    <tableColumn id="2" xr3:uid="{E3E4FF30-467D-428C-AA2A-56F37E0FFB82}" name="Finalidade" dataDxfId="12"/>
    <tableColumn id="3" xr3:uid="{CCCB292D-100F-4C74-88E4-D94CF9837E3E}" name="UPF base" dataDxfId="11"/>
    <tableColumn id="4" xr3:uid="{46A265FB-598D-4B42-997B-1CFE6214B7C2}" name="Alíquotas" dataDxfId="10" dataCellStyle="Porcentagem"/>
    <tableColumn id="5" xr3:uid="{BB48756B-10E3-4162-8714-DBFA37571CCC}" name="Valor UPF" dataDxfId="9"/>
    <tableColumn id="6" xr3:uid="{0109CDB1-C337-4CAB-81BA-2FCFFEAA62F8}" name="Valor Total" dataDxfId="8">
      <calculatedColumnFormula>AT2*AS2</calculatedColumnFormula>
    </tableColumn>
    <tableColumn id="7" xr3:uid="{60B8DF50-2C55-4407-B5BD-8EEC40AE3002}" name="Funrural" dataDxfId="7" dataCellStyle="Porcentagem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B06F24-0EEE-485B-8D9C-8F1FC6DFDDF7}" name="Tabela22" displayName="Tabela22" ref="E24:E26" totalsRowShown="0" headerRowDxfId="6" dataDxfId="5">
  <autoFilter ref="E24:E26" xr:uid="{ADB06F24-0EEE-485B-8D9C-8F1FC6DFDDF7}"/>
  <tableColumns count="1">
    <tableColumn id="1" xr3:uid="{CE7EED04-7DA6-449C-9B31-1A6827EDF444}" name="Destino" dataDxfId="4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6ADD215-59D0-4E32-B15D-C2039CEF8E6D}" name="Tabela23" displayName="Tabela23" ref="E29:E32" totalsRowShown="0" headerRowDxfId="3" dataDxfId="2">
  <autoFilter ref="E29:E32" xr:uid="{36ADD215-59D0-4E32-B15D-C2039CEF8E6D}"/>
  <tableColumns count="1">
    <tableColumn id="1" xr3:uid="{0679178D-F2F0-4845-BBEC-66790473DEEE}" name="Unidade" dataDxfId="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ACE49B-241C-4879-B121-68BBA2D92C6A}" name="Tabela3" displayName="Tabela3" ref="E1:E9" headerRowDxfId="79" dataDxfId="78" totalsRowDxfId="77">
  <tableColumns count="1">
    <tableColumn id="1" xr3:uid="{59DC7AC2-3338-4214-BB97-19ADD9C2B194}" name="Sistemas" totalsRowFunction="count" dataDxfId="76" totalsRowDxfId="75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1E5E8B-1A4E-4B89-ADD8-B377CE8FCFCB}" name="Tabela4" displayName="Tabela4" ref="I1:J142" totalsRowShown="0" headerRowDxfId="74" dataDxfId="73" tableBorderDxfId="72" dataCellStyle="Separador de milhares 3">
  <tableColumns count="2">
    <tableColumn id="1" xr3:uid="{2ED03B33-4C94-4208-B4F6-B7247F0461D5}" name="Municípios" dataDxfId="71" dataCellStyle="Separador de milhares 3"/>
    <tableColumn id="2" xr3:uid="{2F328D90-F347-44A0-90F9-0B4CBBA89651}" name="Regiões" dataDxfId="70" dataCellStyle="Separador de milhares 3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BA1B14-AC73-4182-A9A1-E6B414BE7BFC}" name="Tabela5" displayName="Tabela5" ref="G1:G13" totalsRowShown="0" headerRowDxfId="69">
  <tableColumns count="1">
    <tableColumn id="1" xr3:uid="{450BB7A9-1B75-486A-B430-9B118BF573FF}" name="Raças predominantes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B56862-16FA-4491-A194-94BAA169F83E}" name="Tabela7" displayName="Tabela7" ref="L1:L5" totalsRowShown="0" headerRowDxfId="68" dataDxfId="67">
  <autoFilter ref="L1:L5" xr:uid="{BBB56862-16FA-4491-A194-94BAA169F83E}"/>
  <tableColumns count="1">
    <tableColumn id="1" xr3:uid="{CA610B7A-E765-4598-8974-05FBB6CC2BA5}" name="Estado" dataDxfId="6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C0BFE0F-B327-4BFF-9E4C-5B6ED28BFB1E}" name="Tabela10" displayName="Tabela10" ref="L7:L17" totalsRowShown="0" headerRowDxfId="65" dataDxfId="64" dataCellStyle="Porcentagem">
  <autoFilter ref="L7:L17" xr:uid="{3C0BFE0F-B327-4BFF-9E4C-5B6ED28BFB1E}"/>
  <tableColumns count="1">
    <tableColumn id="1" xr3:uid="{ACE99362-D258-4B06-AA04-CFD9CD1B7954}" name="Percentual" dataDxfId="63" dataCellStyle="Porcentagem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695320-1343-4E23-954D-F5BF622EFF03}" name="Tabela11" displayName="Tabela11" ref="N1:N5" totalsRowShown="0" headerRowDxfId="62" dataDxfId="61">
  <autoFilter ref="N1:N5" xr:uid="{85695320-1343-4E23-954D-F5BF622EFF03}"/>
  <tableColumns count="1">
    <tableColumn id="1" xr3:uid="{2B76104E-6749-494C-B455-8ACCE65444B8}" name="Animais de serviço" dataDxfId="6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2F42A6-56DE-4599-B651-699F0C01058E}" name="Tabela12" displayName="Tabela12" ref="N7:N11" totalsRowShown="0" headerRowDxfId="59" dataDxfId="58">
  <autoFilter ref="N7:N11" xr:uid="{442F42A6-56DE-4599-B651-699F0C01058E}"/>
  <tableColumns count="1">
    <tableColumn id="1" xr3:uid="{7A3F7466-2D63-4C0F-BDA1-E5E9756458D2}" name="Transporte" dataDxfId="57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E20E15-03C7-4A90-A2C3-66D93C0990F5}" name="Tabela104" displayName="Tabela104" ref="L19:L32" totalsRowShown="0" headerRowDxfId="56" dataDxfId="55" dataCellStyle="Porcentagem">
  <autoFilter ref="L19:L32" xr:uid="{EBE20E15-03C7-4A90-A2C3-66D93C0990F5}"/>
  <tableColumns count="1">
    <tableColumn id="1" xr3:uid="{2AFB3582-B311-4ABE-B44D-49EE15534F59}" name="Lista de nº utilitários" dataDxfId="54" dataCellStyle="Porcentagem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usto%20de%20produ&#231;&#227;o%20do%20leite.xlsx" TargetMode="External"/><Relationship Id="rId1" Type="http://schemas.openxmlformats.org/officeDocument/2006/relationships/hyperlink" Target="Custo%20de%20produ&#231;&#227;o%20do%20leite.xlsx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066F-0DF9-4F54-93F0-ECCEDE2A1890}">
  <sheetPr>
    <tabColor theme="4" tint="-0.249977111117893"/>
  </sheetPr>
  <dimension ref="A1:BB142"/>
  <sheetViews>
    <sheetView showGridLines="0" topLeftCell="P35" workbookViewId="0">
      <selection activeCell="Y13" sqref="Y13:AB14"/>
    </sheetView>
  </sheetViews>
  <sheetFormatPr defaultRowHeight="15" x14ac:dyDescent="0.25"/>
  <cols>
    <col min="1" max="1" width="27.7109375" bestFit="1" customWidth="1"/>
    <col min="2" max="2" width="11.7109375" bestFit="1" customWidth="1"/>
    <col min="3" max="3" width="8" bestFit="1" customWidth="1"/>
    <col min="4" max="4" width="2.5703125" customWidth="1"/>
    <col min="5" max="5" width="17.28515625" customWidth="1"/>
    <col min="6" max="6" width="3" customWidth="1"/>
    <col min="7" max="7" width="24.7109375" bestFit="1" customWidth="1"/>
    <col min="8" max="8" width="4" customWidth="1"/>
    <col min="9" max="9" width="31.5703125" bestFit="1" customWidth="1"/>
    <col min="10" max="10" width="12.42578125" bestFit="1" customWidth="1"/>
    <col min="11" max="11" width="4.28515625" customWidth="1"/>
    <col min="12" max="12" width="24.140625" bestFit="1" customWidth="1"/>
    <col min="13" max="13" width="4.140625" customWidth="1"/>
    <col min="14" max="14" width="22.42578125" bestFit="1" customWidth="1"/>
    <col min="16" max="16" width="65.140625" style="15" bestFit="1" customWidth="1"/>
    <col min="17" max="17" width="9.140625" style="15"/>
    <col min="18" max="18" width="16.5703125" style="15" customWidth="1"/>
    <col min="19" max="19" width="17.140625" style="15" customWidth="1"/>
    <col min="20" max="21" width="15.85546875" style="15" customWidth="1"/>
    <col min="22" max="22" width="9.140625" style="15"/>
    <col min="23" max="23" width="27.7109375" style="15" bestFit="1" customWidth="1"/>
    <col min="24" max="24" width="9.140625" style="15"/>
    <col min="25" max="25" width="16.5703125" style="15" customWidth="1"/>
    <col min="26" max="26" width="17.140625" style="15" customWidth="1"/>
    <col min="27" max="28" width="15.85546875" style="15" customWidth="1"/>
    <col min="29" max="29" width="9.140625" style="15"/>
    <col min="30" max="30" width="27.85546875" style="15" bestFit="1" customWidth="1"/>
    <col min="31" max="31" width="9.140625" style="15"/>
    <col min="32" max="32" width="16.5703125" style="15" customWidth="1"/>
    <col min="33" max="33" width="19.28515625" style="15" customWidth="1"/>
    <col min="34" max="34" width="14.28515625" style="15" bestFit="1" customWidth="1"/>
    <col min="35" max="35" width="9.140625" style="15"/>
    <col min="36" max="36" width="24.42578125" style="15" bestFit="1" customWidth="1"/>
    <col min="37" max="37" width="9.140625" style="15"/>
    <col min="38" max="38" width="16.5703125" style="15" customWidth="1"/>
    <col min="39" max="39" width="19.7109375" style="15" bestFit="1" customWidth="1"/>
    <col min="40" max="40" width="9.140625" style="15"/>
    <col min="42" max="42" width="15.28515625" customWidth="1"/>
    <col min="43" max="43" width="13" bestFit="1" customWidth="1"/>
    <col min="44" max="44" width="14.140625" bestFit="1" customWidth="1"/>
    <col min="45" max="45" width="13.42578125" bestFit="1" customWidth="1"/>
    <col min="46" max="46" width="15.140625" bestFit="1" customWidth="1"/>
    <col min="47" max="47" width="14.42578125" bestFit="1" customWidth="1"/>
    <col min="48" max="48" width="14.140625" bestFit="1" customWidth="1"/>
    <col min="49" max="49" width="13.42578125" bestFit="1" customWidth="1"/>
    <col min="50" max="50" width="15.140625" bestFit="1" customWidth="1"/>
    <col min="51" max="51" width="14.42578125" bestFit="1" customWidth="1"/>
    <col min="52" max="52" width="5.7109375" bestFit="1" customWidth="1"/>
    <col min="53" max="53" width="18.5703125" bestFit="1" customWidth="1"/>
    <col min="54" max="54" width="17" bestFit="1" customWidth="1"/>
  </cols>
  <sheetData>
    <row r="1" spans="1:51" ht="15" customHeight="1" x14ac:dyDescent="0.25">
      <c r="A1" s="5" t="s">
        <v>4</v>
      </c>
      <c r="B1" s="5" t="s">
        <v>38</v>
      </c>
      <c r="C1" s="5" t="s">
        <v>39</v>
      </c>
      <c r="E1" s="5" t="s">
        <v>40</v>
      </c>
      <c r="F1" s="5"/>
      <c r="G1" s="5" t="s">
        <v>59</v>
      </c>
      <c r="I1" s="3" t="s">
        <v>57</v>
      </c>
      <c r="J1" s="4" t="s">
        <v>41</v>
      </c>
      <c r="L1" s="5" t="s">
        <v>24</v>
      </c>
      <c r="M1" s="5"/>
      <c r="N1" s="5" t="s">
        <v>316</v>
      </c>
      <c r="P1" s="14" t="s">
        <v>227</v>
      </c>
      <c r="Q1" s="14" t="s">
        <v>228</v>
      </c>
      <c r="R1" s="14" t="s">
        <v>229</v>
      </c>
      <c r="S1" s="14" t="s">
        <v>230</v>
      </c>
      <c r="T1" s="14" t="s">
        <v>231</v>
      </c>
      <c r="U1" s="14" t="s">
        <v>232</v>
      </c>
      <c r="W1" s="14" t="s">
        <v>233</v>
      </c>
      <c r="X1" s="14" t="s">
        <v>228</v>
      </c>
      <c r="Y1" s="14" t="s">
        <v>229</v>
      </c>
      <c r="Z1" s="14" t="s">
        <v>230</v>
      </c>
      <c r="AA1" s="14" t="s">
        <v>231</v>
      </c>
      <c r="AB1" s="14" t="s">
        <v>232</v>
      </c>
      <c r="AD1" s="14" t="s">
        <v>234</v>
      </c>
      <c r="AE1" s="14" t="s">
        <v>228</v>
      </c>
      <c r="AF1" s="14" t="s">
        <v>229</v>
      </c>
      <c r="AG1" s="14" t="s">
        <v>235</v>
      </c>
      <c r="AH1" s="14" t="s">
        <v>236</v>
      </c>
      <c r="AJ1" s="14" t="s">
        <v>309</v>
      </c>
      <c r="AK1" s="14" t="s">
        <v>228</v>
      </c>
      <c r="AL1" s="14" t="s">
        <v>229</v>
      </c>
      <c r="AM1" s="14" t="s">
        <v>235</v>
      </c>
      <c r="AN1" s="14"/>
      <c r="AP1" s="17" t="s">
        <v>432</v>
      </c>
      <c r="AQ1" s="18" t="s">
        <v>433</v>
      </c>
      <c r="AR1" s="18" t="s">
        <v>434</v>
      </c>
      <c r="AS1" s="18" t="s">
        <v>435</v>
      </c>
      <c r="AT1" s="18" t="s">
        <v>436</v>
      </c>
      <c r="AU1" s="19" t="s">
        <v>437</v>
      </c>
      <c r="AV1" s="18" t="s">
        <v>450</v>
      </c>
    </row>
    <row r="2" spans="1:51" x14ac:dyDescent="0.25">
      <c r="A2" s="5" t="s">
        <v>42</v>
      </c>
      <c r="B2" s="5">
        <v>1</v>
      </c>
      <c r="C2" s="5">
        <v>1</v>
      </c>
      <c r="E2" s="5" t="s">
        <v>43</v>
      </c>
      <c r="F2" s="5"/>
      <c r="G2" s="5" t="s">
        <v>60</v>
      </c>
      <c r="I2" s="1" t="s">
        <v>65</v>
      </c>
      <c r="J2" s="1" t="s">
        <v>2</v>
      </c>
      <c r="L2" s="5" t="s">
        <v>206</v>
      </c>
      <c r="M2" s="5"/>
      <c r="N2" s="5" t="s">
        <v>318</v>
      </c>
      <c r="P2" s="15" t="s">
        <v>242</v>
      </c>
      <c r="Q2" s="15" t="s">
        <v>227</v>
      </c>
      <c r="R2" s="15">
        <v>10</v>
      </c>
      <c r="S2" s="15">
        <v>2000</v>
      </c>
      <c r="T2" s="15" t="s">
        <v>238</v>
      </c>
      <c r="U2" s="15">
        <v>5</v>
      </c>
      <c r="W2" s="15" t="s">
        <v>249</v>
      </c>
      <c r="X2" s="15" t="s">
        <v>239</v>
      </c>
      <c r="Y2" s="15">
        <v>10</v>
      </c>
      <c r="Z2" s="15">
        <v>12000</v>
      </c>
      <c r="AA2" s="15" t="s">
        <v>238</v>
      </c>
      <c r="AB2" s="15">
        <v>25</v>
      </c>
      <c r="AD2" s="15" t="s">
        <v>240</v>
      </c>
      <c r="AE2" s="15" t="s">
        <v>234</v>
      </c>
      <c r="AF2" s="16">
        <v>50</v>
      </c>
      <c r="AG2" s="15">
        <v>20</v>
      </c>
      <c r="AH2" s="15" t="s">
        <v>241</v>
      </c>
      <c r="AJ2" s="15" t="s">
        <v>355</v>
      </c>
      <c r="AL2" s="15">
        <v>5</v>
      </c>
      <c r="AM2" s="15">
        <v>20</v>
      </c>
      <c r="AO2" s="6"/>
      <c r="AP2" s="20" t="s">
        <v>438</v>
      </c>
      <c r="AQ2" s="21" t="s">
        <v>439</v>
      </c>
      <c r="AR2" s="21" t="s">
        <v>440</v>
      </c>
      <c r="AS2" s="22">
        <v>0.115</v>
      </c>
      <c r="AT2" s="23">
        <v>181.98</v>
      </c>
      <c r="AU2" s="24">
        <f>AT2*AS2</f>
        <v>20.927699999999998</v>
      </c>
      <c r="AV2" s="31">
        <v>1.4999999999999999E-2</v>
      </c>
    </row>
    <row r="3" spans="1:51" x14ac:dyDescent="0.25">
      <c r="A3" s="5" t="s">
        <v>42</v>
      </c>
      <c r="B3" s="5">
        <v>2</v>
      </c>
      <c r="C3" s="5">
        <v>2</v>
      </c>
      <c r="E3" s="5" t="s">
        <v>44</v>
      </c>
      <c r="F3" s="5"/>
      <c r="G3" s="5" t="s">
        <v>3</v>
      </c>
      <c r="I3" s="1" t="s">
        <v>66</v>
      </c>
      <c r="J3" s="1" t="s">
        <v>46</v>
      </c>
      <c r="L3" s="5" t="s">
        <v>207</v>
      </c>
      <c r="M3" s="5"/>
      <c r="N3" s="5" t="s">
        <v>319</v>
      </c>
      <c r="P3" s="15" t="s">
        <v>244</v>
      </c>
      <c r="Q3" s="15" t="s">
        <v>227</v>
      </c>
      <c r="R3" s="15">
        <v>3</v>
      </c>
      <c r="S3" s="15" t="s">
        <v>238</v>
      </c>
      <c r="T3" s="15">
        <v>300</v>
      </c>
      <c r="U3" s="15">
        <v>0</v>
      </c>
      <c r="W3" s="15" t="s">
        <v>261</v>
      </c>
      <c r="X3" s="15" t="s">
        <v>239</v>
      </c>
      <c r="Y3" s="15">
        <v>10</v>
      </c>
      <c r="Z3" s="15">
        <v>2000</v>
      </c>
      <c r="AA3" s="15" t="s">
        <v>238</v>
      </c>
      <c r="AB3" s="15">
        <v>5</v>
      </c>
      <c r="AD3" s="15" t="s">
        <v>243</v>
      </c>
      <c r="AE3" s="15" t="s">
        <v>234</v>
      </c>
      <c r="AF3" s="16">
        <v>40</v>
      </c>
      <c r="AG3" s="15">
        <v>20</v>
      </c>
      <c r="AH3" s="15" t="s">
        <v>241</v>
      </c>
      <c r="AJ3" s="15" t="s">
        <v>356</v>
      </c>
      <c r="AL3" s="15">
        <v>5</v>
      </c>
      <c r="AM3" s="15">
        <v>20</v>
      </c>
      <c r="AO3" s="6"/>
      <c r="AP3" s="20" t="s">
        <v>441</v>
      </c>
      <c r="AQ3" s="21" t="s">
        <v>439</v>
      </c>
      <c r="AR3" s="25" t="s">
        <v>440</v>
      </c>
      <c r="AS3" s="22">
        <v>1.26E-2</v>
      </c>
      <c r="AT3" s="23">
        <v>181.98</v>
      </c>
      <c r="AU3" s="24">
        <f t="shared" ref="AU3:AU8" si="0">AT3*AS3</f>
        <v>2.292948</v>
      </c>
      <c r="AV3" s="31">
        <v>1.4999999999999999E-2</v>
      </c>
    </row>
    <row r="4" spans="1:51" x14ac:dyDescent="0.25">
      <c r="A4" s="5" t="s">
        <v>42</v>
      </c>
      <c r="B4" s="5">
        <v>3</v>
      </c>
      <c r="C4" s="5">
        <v>3</v>
      </c>
      <c r="E4" s="5" t="s">
        <v>45</v>
      </c>
      <c r="F4" s="5"/>
      <c r="G4" s="5" t="s">
        <v>61</v>
      </c>
      <c r="I4" s="1" t="s">
        <v>67</v>
      </c>
      <c r="J4" s="1" t="s">
        <v>50</v>
      </c>
      <c r="L4" s="5" t="s">
        <v>208</v>
      </c>
      <c r="M4" s="5"/>
      <c r="N4" s="5" t="s">
        <v>320</v>
      </c>
      <c r="P4" s="15" t="s">
        <v>258</v>
      </c>
      <c r="Q4" s="15" t="s">
        <v>227</v>
      </c>
      <c r="R4" s="15">
        <v>15</v>
      </c>
      <c r="S4" s="15">
        <v>2500</v>
      </c>
      <c r="T4" s="15" t="s">
        <v>238</v>
      </c>
      <c r="U4" s="15">
        <v>5</v>
      </c>
      <c r="W4" s="15" t="s">
        <v>262</v>
      </c>
      <c r="X4" s="15" t="s">
        <v>239</v>
      </c>
      <c r="Y4" s="15">
        <v>20</v>
      </c>
      <c r="Z4" s="15">
        <v>24000</v>
      </c>
      <c r="AA4" s="15" t="s">
        <v>238</v>
      </c>
      <c r="AB4" s="15">
        <v>25</v>
      </c>
      <c r="AD4" s="15" t="s">
        <v>245</v>
      </c>
      <c r="AE4" s="15" t="s">
        <v>234</v>
      </c>
      <c r="AF4" s="16">
        <v>25</v>
      </c>
      <c r="AG4" s="15">
        <v>20</v>
      </c>
      <c r="AH4" s="15" t="s">
        <v>241</v>
      </c>
      <c r="AJ4" s="13" t="s">
        <v>373</v>
      </c>
      <c r="AL4" s="15">
        <v>5</v>
      </c>
      <c r="AM4" s="15">
        <v>20</v>
      </c>
      <c r="AO4" s="6"/>
      <c r="AP4" s="20" t="s">
        <v>442</v>
      </c>
      <c r="AQ4" s="21" t="s">
        <v>439</v>
      </c>
      <c r="AR4" s="21" t="s">
        <v>443</v>
      </c>
      <c r="AS4" s="22">
        <v>1.575E-2</v>
      </c>
      <c r="AT4" s="23">
        <v>195.21333333333334</v>
      </c>
      <c r="AU4" s="24">
        <f t="shared" si="0"/>
        <v>3.0746100000000003</v>
      </c>
      <c r="AV4" s="31">
        <v>1.4999999999999999E-2</v>
      </c>
    </row>
    <row r="5" spans="1:51" x14ac:dyDescent="0.25">
      <c r="A5" s="5" t="s">
        <v>5</v>
      </c>
      <c r="B5" s="5">
        <v>4</v>
      </c>
      <c r="C5" s="5">
        <v>1</v>
      </c>
      <c r="E5" s="5" t="s">
        <v>47</v>
      </c>
      <c r="F5" s="5"/>
      <c r="G5" s="5" t="s">
        <v>62</v>
      </c>
      <c r="I5" s="1" t="s">
        <v>68</v>
      </c>
      <c r="J5" s="1" t="s">
        <v>55</v>
      </c>
      <c r="L5" s="5" t="s">
        <v>209</v>
      </c>
      <c r="M5" s="5"/>
      <c r="N5" s="5" t="s">
        <v>321</v>
      </c>
      <c r="P5" s="15" t="s">
        <v>259</v>
      </c>
      <c r="Q5" s="15" t="s">
        <v>227</v>
      </c>
      <c r="R5" s="15">
        <v>15</v>
      </c>
      <c r="S5" s="15" t="s">
        <v>238</v>
      </c>
      <c r="T5" s="15">
        <v>730</v>
      </c>
      <c r="U5" s="15">
        <v>0</v>
      </c>
      <c r="W5" s="15" t="s">
        <v>264</v>
      </c>
      <c r="X5" s="15" t="s">
        <v>239</v>
      </c>
      <c r="Y5" s="15">
        <v>10</v>
      </c>
      <c r="Z5" s="15">
        <v>15000</v>
      </c>
      <c r="AA5" s="15" t="s">
        <v>238</v>
      </c>
      <c r="AB5" s="15">
        <v>20</v>
      </c>
      <c r="AD5" s="15" t="s">
        <v>350</v>
      </c>
      <c r="AF5" s="16">
        <v>20</v>
      </c>
      <c r="AG5" s="15">
        <v>20</v>
      </c>
      <c r="AJ5" s="15" t="s">
        <v>361</v>
      </c>
      <c r="AL5" s="15">
        <v>20</v>
      </c>
      <c r="AM5" s="15">
        <v>20</v>
      </c>
      <c r="AO5" s="6"/>
      <c r="AP5" s="20" t="s">
        <v>444</v>
      </c>
      <c r="AQ5" s="21" t="s">
        <v>439</v>
      </c>
      <c r="AR5" s="21" t="s">
        <v>443</v>
      </c>
      <c r="AS5" s="22">
        <v>0.04</v>
      </c>
      <c r="AT5" s="23">
        <v>195.21333333333334</v>
      </c>
      <c r="AU5" s="24">
        <f t="shared" si="0"/>
        <v>7.808533333333334</v>
      </c>
      <c r="AV5" s="31">
        <v>1.4999999999999999E-2</v>
      </c>
    </row>
    <row r="6" spans="1:51" x14ac:dyDescent="0.25">
      <c r="A6" s="5" t="s">
        <v>5</v>
      </c>
      <c r="B6" s="5">
        <v>5</v>
      </c>
      <c r="C6" s="5">
        <v>2</v>
      </c>
      <c r="E6" s="5" t="s">
        <v>49</v>
      </c>
      <c r="F6" s="5"/>
      <c r="G6" s="5" t="s">
        <v>63</v>
      </c>
      <c r="I6" s="1" t="s">
        <v>69</v>
      </c>
      <c r="J6" s="1" t="s">
        <v>46</v>
      </c>
      <c r="L6" s="5"/>
      <c r="M6" s="5"/>
      <c r="N6" s="5"/>
      <c r="P6" s="15" t="s">
        <v>267</v>
      </c>
      <c r="Q6" s="15" t="s">
        <v>227</v>
      </c>
      <c r="R6" s="15">
        <v>5</v>
      </c>
      <c r="S6" s="15">
        <v>6750</v>
      </c>
      <c r="T6" s="15" t="s">
        <v>238</v>
      </c>
      <c r="U6" s="15">
        <v>5</v>
      </c>
      <c r="W6" s="15" t="s">
        <v>268</v>
      </c>
      <c r="X6" s="15" t="s">
        <v>239</v>
      </c>
      <c r="Y6" s="15">
        <v>10</v>
      </c>
      <c r="Z6" s="15">
        <v>12000</v>
      </c>
      <c r="AA6" s="15" t="s">
        <v>238</v>
      </c>
      <c r="AB6" s="15">
        <v>25</v>
      </c>
      <c r="AD6" s="15" t="s">
        <v>246</v>
      </c>
      <c r="AE6" s="15" t="s">
        <v>234</v>
      </c>
      <c r="AF6" s="16">
        <v>40</v>
      </c>
      <c r="AG6" s="15">
        <v>20</v>
      </c>
      <c r="AH6" s="15" t="s">
        <v>247</v>
      </c>
      <c r="AJ6" s="13" t="s">
        <v>374</v>
      </c>
      <c r="AL6" s="15">
        <v>5</v>
      </c>
      <c r="AM6" s="15">
        <v>20</v>
      </c>
      <c r="AO6" s="6"/>
      <c r="AP6" s="20" t="s">
        <v>445</v>
      </c>
      <c r="AQ6" s="21" t="s">
        <v>446</v>
      </c>
      <c r="AR6" s="21" t="s">
        <v>443</v>
      </c>
      <c r="AS6" s="22">
        <v>0.02</v>
      </c>
      <c r="AT6" s="23">
        <v>195.21333333333334</v>
      </c>
      <c r="AU6" s="24">
        <f t="shared" si="0"/>
        <v>3.904266666666667</v>
      </c>
      <c r="AV6" s="31">
        <v>1.4999999999999999E-2</v>
      </c>
    </row>
    <row r="7" spans="1:51" x14ac:dyDescent="0.25">
      <c r="A7" s="5" t="s">
        <v>5</v>
      </c>
      <c r="B7" s="5">
        <v>6</v>
      </c>
      <c r="C7" s="5">
        <v>3</v>
      </c>
      <c r="E7" s="5" t="s">
        <v>51</v>
      </c>
      <c r="F7" s="5"/>
      <c r="G7" s="5" t="s">
        <v>64</v>
      </c>
      <c r="I7" s="1" t="s">
        <v>70</v>
      </c>
      <c r="J7" s="1" t="s">
        <v>55</v>
      </c>
      <c r="L7" s="5" t="s">
        <v>315</v>
      </c>
      <c r="M7" s="5"/>
      <c r="N7" s="5" t="s">
        <v>14</v>
      </c>
      <c r="P7" s="15" t="s">
        <v>270</v>
      </c>
      <c r="Q7" s="15" t="s">
        <v>227</v>
      </c>
      <c r="R7" s="15">
        <v>12</v>
      </c>
      <c r="S7" s="15">
        <v>5000</v>
      </c>
      <c r="T7" s="15" t="s">
        <v>238</v>
      </c>
      <c r="U7" s="15">
        <v>5</v>
      </c>
      <c r="W7" s="15" t="s">
        <v>272</v>
      </c>
      <c r="X7" s="15" t="s">
        <v>239</v>
      </c>
      <c r="Y7" s="15">
        <v>10</v>
      </c>
      <c r="Z7" s="15">
        <v>10000</v>
      </c>
      <c r="AA7" s="15" t="s">
        <v>238</v>
      </c>
      <c r="AB7" s="15">
        <v>20</v>
      </c>
      <c r="AD7" s="15" t="s">
        <v>248</v>
      </c>
      <c r="AE7" s="15" t="s">
        <v>234</v>
      </c>
      <c r="AF7" s="16">
        <v>25</v>
      </c>
      <c r="AG7" s="15">
        <v>20</v>
      </c>
      <c r="AH7" s="15" t="s">
        <v>247</v>
      </c>
      <c r="AJ7" s="13" t="s">
        <v>365</v>
      </c>
      <c r="AK7" s="13"/>
      <c r="AL7" s="15">
        <v>50</v>
      </c>
      <c r="AM7" s="15">
        <v>20</v>
      </c>
      <c r="AO7" s="6"/>
      <c r="AP7" s="20" t="s">
        <v>447</v>
      </c>
      <c r="AQ7" s="21" t="s">
        <v>446</v>
      </c>
      <c r="AR7" s="21" t="s">
        <v>443</v>
      </c>
      <c r="AS7" s="22">
        <v>0.02</v>
      </c>
      <c r="AT7" s="23">
        <v>195.21333333333334</v>
      </c>
      <c r="AU7" s="24">
        <f t="shared" si="0"/>
        <v>3.904266666666667</v>
      </c>
      <c r="AV7" s="31">
        <v>1.4999999999999999E-2</v>
      </c>
    </row>
    <row r="8" spans="1:51" x14ac:dyDescent="0.25">
      <c r="A8" s="5" t="s">
        <v>53</v>
      </c>
      <c r="B8" s="5">
        <v>7</v>
      </c>
      <c r="C8" s="5">
        <v>1</v>
      </c>
      <c r="E8" s="5" t="s">
        <v>54</v>
      </c>
      <c r="F8" s="5"/>
      <c r="G8" s="5" t="s">
        <v>219</v>
      </c>
      <c r="I8" s="1" t="s">
        <v>71</v>
      </c>
      <c r="J8" s="1" t="s">
        <v>2</v>
      </c>
      <c r="L8" s="7">
        <v>0.1</v>
      </c>
      <c r="M8" s="5"/>
      <c r="N8" s="5" t="s">
        <v>322</v>
      </c>
      <c r="P8" s="15" t="s">
        <v>271</v>
      </c>
      <c r="Q8" s="15" t="s">
        <v>227</v>
      </c>
      <c r="R8" s="15">
        <v>15</v>
      </c>
      <c r="S8" s="15">
        <v>5000</v>
      </c>
      <c r="T8" s="15" t="s">
        <v>238</v>
      </c>
      <c r="U8" s="15">
        <v>5</v>
      </c>
      <c r="W8" s="15" t="s">
        <v>274</v>
      </c>
      <c r="X8" s="15" t="s">
        <v>239</v>
      </c>
      <c r="Y8" s="15">
        <v>8</v>
      </c>
      <c r="Z8" s="15">
        <v>2000</v>
      </c>
      <c r="AA8" s="15" t="s">
        <v>238</v>
      </c>
      <c r="AB8" s="15">
        <v>5</v>
      </c>
      <c r="AD8" s="15" t="s">
        <v>250</v>
      </c>
      <c r="AE8" s="15" t="s">
        <v>234</v>
      </c>
      <c r="AF8" s="16">
        <v>50</v>
      </c>
      <c r="AG8" s="15">
        <v>20</v>
      </c>
      <c r="AH8" s="15" t="s">
        <v>241</v>
      </c>
      <c r="AJ8" s="15" t="s">
        <v>360</v>
      </c>
      <c r="AL8" s="15">
        <v>10</v>
      </c>
      <c r="AM8" s="15">
        <v>20</v>
      </c>
      <c r="AO8" s="6"/>
      <c r="AP8" s="26" t="s">
        <v>448</v>
      </c>
      <c r="AQ8" s="27" t="s">
        <v>446</v>
      </c>
      <c r="AR8" s="27" t="s">
        <v>443</v>
      </c>
      <c r="AS8" s="28">
        <v>0.02</v>
      </c>
      <c r="AT8" s="29">
        <v>195.21333333333334</v>
      </c>
      <c r="AU8" s="30">
        <f t="shared" si="0"/>
        <v>3.904266666666667</v>
      </c>
      <c r="AV8" s="31">
        <v>1.4999999999999999E-2</v>
      </c>
    </row>
    <row r="9" spans="1:51" x14ac:dyDescent="0.25">
      <c r="A9" s="5" t="s">
        <v>53</v>
      </c>
      <c r="B9" s="5">
        <v>8</v>
      </c>
      <c r="C9" s="5">
        <v>2</v>
      </c>
      <c r="E9" s="5" t="s">
        <v>6</v>
      </c>
      <c r="F9" s="5"/>
      <c r="G9" s="5" t="s">
        <v>220</v>
      </c>
      <c r="I9" s="1" t="s">
        <v>72</v>
      </c>
      <c r="J9" s="1" t="s">
        <v>55</v>
      </c>
      <c r="L9" s="7">
        <v>0.2</v>
      </c>
      <c r="M9" s="5"/>
      <c r="N9" s="5" t="s">
        <v>323</v>
      </c>
      <c r="P9" s="15" t="s">
        <v>273</v>
      </c>
      <c r="Q9" s="15" t="s">
        <v>227</v>
      </c>
      <c r="R9" s="15">
        <v>15</v>
      </c>
      <c r="S9" s="15">
        <v>5000</v>
      </c>
      <c r="T9" s="15" t="s">
        <v>238</v>
      </c>
      <c r="U9" s="15">
        <v>5</v>
      </c>
      <c r="W9" s="15" t="s">
        <v>276</v>
      </c>
      <c r="X9" s="15" t="s">
        <v>239</v>
      </c>
      <c r="Y9" s="15">
        <v>10</v>
      </c>
      <c r="Z9" s="15">
        <v>15000</v>
      </c>
      <c r="AA9" s="15" t="s">
        <v>238</v>
      </c>
      <c r="AB9" s="15">
        <v>20</v>
      </c>
      <c r="AD9" s="15" t="s">
        <v>329</v>
      </c>
      <c r="AE9" s="15" t="s">
        <v>234</v>
      </c>
      <c r="AF9" s="16">
        <v>5</v>
      </c>
      <c r="AG9" s="15">
        <v>20</v>
      </c>
      <c r="AH9" s="15" t="s">
        <v>247</v>
      </c>
      <c r="AJ9" s="15" t="s">
        <v>357</v>
      </c>
      <c r="AL9" s="15">
        <v>5</v>
      </c>
      <c r="AM9" s="15">
        <v>20</v>
      </c>
      <c r="AO9" s="6"/>
      <c r="AP9" s="6"/>
    </row>
    <row r="10" spans="1:51" x14ac:dyDescent="0.25">
      <c r="A10" s="5" t="s">
        <v>53</v>
      </c>
      <c r="B10" s="5">
        <v>9</v>
      </c>
      <c r="C10" s="5">
        <v>3</v>
      </c>
      <c r="G10" s="5" t="s">
        <v>221</v>
      </c>
      <c r="I10" s="1" t="s">
        <v>73</v>
      </c>
      <c r="J10" s="1" t="s">
        <v>50</v>
      </c>
      <c r="L10" s="9">
        <v>0.3</v>
      </c>
      <c r="N10" s="5" t="s">
        <v>324</v>
      </c>
      <c r="P10" s="15" t="s">
        <v>275</v>
      </c>
      <c r="Q10" s="15" t="s">
        <v>227</v>
      </c>
      <c r="R10" s="15">
        <v>10</v>
      </c>
      <c r="S10" s="15">
        <v>2000</v>
      </c>
      <c r="T10" s="15" t="s">
        <v>238</v>
      </c>
      <c r="U10" s="15">
        <v>5</v>
      </c>
      <c r="W10" s="15" t="s">
        <v>277</v>
      </c>
      <c r="X10" s="15" t="s">
        <v>239</v>
      </c>
      <c r="Y10" s="15">
        <v>10</v>
      </c>
      <c r="Z10" s="15">
        <v>15000</v>
      </c>
      <c r="AA10" s="15" t="s">
        <v>238</v>
      </c>
      <c r="AB10" s="15">
        <v>20</v>
      </c>
      <c r="AD10" s="15" t="s">
        <v>348</v>
      </c>
      <c r="AF10" s="16">
        <v>20</v>
      </c>
      <c r="AG10" s="15">
        <v>20</v>
      </c>
      <c r="AJ10" s="15" t="s">
        <v>358</v>
      </c>
      <c r="AL10" s="15">
        <v>5</v>
      </c>
      <c r="AM10" s="15">
        <v>20</v>
      </c>
      <c r="AO10" s="6"/>
      <c r="AP10" s="6"/>
    </row>
    <row r="11" spans="1:51" ht="15" customHeight="1" x14ac:dyDescent="0.25">
      <c r="A11" s="5" t="s">
        <v>56</v>
      </c>
      <c r="B11" s="5">
        <v>10</v>
      </c>
      <c r="C11" s="5">
        <v>1</v>
      </c>
      <c r="G11" s="12" t="s">
        <v>453</v>
      </c>
      <c r="I11" s="1" t="s">
        <v>74</v>
      </c>
      <c r="J11" s="1" t="s">
        <v>55</v>
      </c>
      <c r="L11" s="9">
        <v>0.4</v>
      </c>
      <c r="N11" s="5" t="s">
        <v>325</v>
      </c>
      <c r="P11" s="15" t="s">
        <v>282</v>
      </c>
      <c r="Q11" s="15" t="s">
        <v>227</v>
      </c>
      <c r="R11" s="15">
        <v>12</v>
      </c>
      <c r="S11" s="15">
        <v>2500</v>
      </c>
      <c r="T11" s="15" t="s">
        <v>238</v>
      </c>
      <c r="U11" s="15">
        <v>5</v>
      </c>
      <c r="W11" s="15" t="s">
        <v>278</v>
      </c>
      <c r="X11" s="15" t="s">
        <v>239</v>
      </c>
      <c r="Y11" s="15">
        <v>10</v>
      </c>
      <c r="Z11" s="15">
        <v>6000</v>
      </c>
      <c r="AA11" s="15" t="s">
        <v>238</v>
      </c>
      <c r="AB11" s="15">
        <v>25</v>
      </c>
      <c r="AD11" s="15" t="s">
        <v>347</v>
      </c>
      <c r="AF11" s="16">
        <v>5</v>
      </c>
      <c r="AG11" s="15">
        <v>20</v>
      </c>
      <c r="AJ11" s="13" t="s">
        <v>370</v>
      </c>
      <c r="AL11" s="15">
        <v>10</v>
      </c>
      <c r="AM11" s="15">
        <v>20</v>
      </c>
      <c r="AO11" s="6"/>
      <c r="AP11" s="41" t="s">
        <v>454</v>
      </c>
      <c r="AQ11" s="41" t="s">
        <v>317</v>
      </c>
      <c r="AR11" s="41" t="s">
        <v>455</v>
      </c>
      <c r="AS11" s="41" t="s">
        <v>222</v>
      </c>
      <c r="AT11" s="41" t="s">
        <v>456</v>
      </c>
      <c r="AU11" s="41" t="s">
        <v>457</v>
      </c>
      <c r="AV11" s="41" t="s">
        <v>458</v>
      </c>
      <c r="AW11" s="41" t="s">
        <v>459</v>
      </c>
      <c r="AX11" s="42" t="s">
        <v>460</v>
      </c>
      <c r="AY11" s="41" t="s">
        <v>461</v>
      </c>
    </row>
    <row r="12" spans="1:51" x14ac:dyDescent="0.25">
      <c r="A12" s="5" t="s">
        <v>56</v>
      </c>
      <c r="B12" s="5">
        <v>11</v>
      </c>
      <c r="C12" s="5">
        <v>2</v>
      </c>
      <c r="I12" s="1" t="s">
        <v>75</v>
      </c>
      <c r="J12" s="1" t="s">
        <v>55</v>
      </c>
      <c r="L12" s="9">
        <v>0.5</v>
      </c>
      <c r="P12" s="15" t="s">
        <v>283</v>
      </c>
      <c r="Q12" s="15" t="s">
        <v>227</v>
      </c>
      <c r="R12" s="15">
        <v>10</v>
      </c>
      <c r="S12" s="15">
        <v>5000</v>
      </c>
      <c r="T12" s="15" t="s">
        <v>238</v>
      </c>
      <c r="U12" s="15">
        <v>25</v>
      </c>
      <c r="W12" s="15" t="s">
        <v>280</v>
      </c>
      <c r="X12" s="15" t="s">
        <v>239</v>
      </c>
      <c r="Y12" s="15">
        <v>12</v>
      </c>
      <c r="Z12" s="15">
        <v>2500</v>
      </c>
      <c r="AA12" s="15" t="s">
        <v>238</v>
      </c>
      <c r="AB12" s="15">
        <v>5</v>
      </c>
      <c r="AD12" s="15" t="s">
        <v>340</v>
      </c>
      <c r="AF12" s="16">
        <v>20</v>
      </c>
      <c r="AG12" s="15">
        <v>20</v>
      </c>
      <c r="AJ12" s="15" t="s">
        <v>354</v>
      </c>
      <c r="AL12" s="15">
        <v>5</v>
      </c>
      <c r="AM12" s="15">
        <v>20</v>
      </c>
      <c r="AO12" s="6"/>
      <c r="AP12" s="43"/>
      <c r="AQ12" s="43"/>
      <c r="AR12" s="43"/>
      <c r="AS12" s="43"/>
      <c r="AT12" s="43"/>
      <c r="AU12" s="43"/>
      <c r="AV12" s="43"/>
      <c r="AW12" s="43"/>
      <c r="AX12" s="44"/>
      <c r="AY12" s="43"/>
    </row>
    <row r="13" spans="1:51" x14ac:dyDescent="0.25">
      <c r="A13" s="5" t="s">
        <v>56</v>
      </c>
      <c r="B13" s="5">
        <v>12</v>
      </c>
      <c r="C13" s="5">
        <v>3</v>
      </c>
      <c r="I13" s="1" t="s">
        <v>76</v>
      </c>
      <c r="J13" s="1" t="s">
        <v>52</v>
      </c>
      <c r="L13" s="9">
        <v>0.6</v>
      </c>
      <c r="P13" s="15" t="s">
        <v>284</v>
      </c>
      <c r="Q13" s="15" t="s">
        <v>227</v>
      </c>
      <c r="R13" s="15">
        <v>10</v>
      </c>
      <c r="S13" s="15">
        <v>5000</v>
      </c>
      <c r="T13" s="15" t="s">
        <v>238</v>
      </c>
      <c r="U13" s="15">
        <v>5</v>
      </c>
      <c r="W13" s="15" t="s">
        <v>281</v>
      </c>
      <c r="X13" s="15" t="s">
        <v>239</v>
      </c>
      <c r="Y13" s="15">
        <v>10</v>
      </c>
      <c r="Z13" s="15">
        <v>6000</v>
      </c>
      <c r="AA13" s="15" t="s">
        <v>238</v>
      </c>
      <c r="AB13" s="15">
        <v>5</v>
      </c>
      <c r="AD13" s="15" t="s">
        <v>251</v>
      </c>
      <c r="AE13" s="15" t="s">
        <v>234</v>
      </c>
      <c r="AF13" s="16">
        <v>40</v>
      </c>
      <c r="AG13" s="15">
        <v>20</v>
      </c>
      <c r="AH13" s="15" t="s">
        <v>241</v>
      </c>
      <c r="AJ13" s="13" t="s">
        <v>364</v>
      </c>
      <c r="AK13" s="13"/>
      <c r="AL13" s="15">
        <v>5</v>
      </c>
      <c r="AM13" s="15">
        <v>20</v>
      </c>
      <c r="AO13" s="6"/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5" t="e">
        <v>#DIV/0!</v>
      </c>
      <c r="AY13" s="33" t="e">
        <f t="shared" ref="AY13:AY26" si="1">AX13*AW13</f>
        <v>#DIV/0!</v>
      </c>
    </row>
    <row r="14" spans="1:51" x14ac:dyDescent="0.25">
      <c r="I14" s="1" t="s">
        <v>77</v>
      </c>
      <c r="J14" s="1" t="s">
        <v>2</v>
      </c>
      <c r="L14" s="9">
        <v>0.7</v>
      </c>
      <c r="P14" s="15" t="s">
        <v>285</v>
      </c>
      <c r="Q14" s="15" t="s">
        <v>227</v>
      </c>
      <c r="R14" s="15">
        <v>10</v>
      </c>
      <c r="S14" s="15">
        <v>5000</v>
      </c>
      <c r="T14" s="15" t="s">
        <v>238</v>
      </c>
      <c r="U14" s="15">
        <v>25</v>
      </c>
      <c r="W14" s="15" t="s">
        <v>402</v>
      </c>
      <c r="X14" s="15" t="s">
        <v>239</v>
      </c>
      <c r="Y14" s="15">
        <v>10</v>
      </c>
      <c r="Z14" s="15">
        <v>6000</v>
      </c>
      <c r="AA14" s="15" t="s">
        <v>238</v>
      </c>
      <c r="AB14" s="15">
        <v>6</v>
      </c>
      <c r="AD14" s="15" t="s">
        <v>252</v>
      </c>
      <c r="AE14" s="15" t="s">
        <v>234</v>
      </c>
      <c r="AF14" s="16">
        <v>25</v>
      </c>
      <c r="AG14" s="15">
        <v>20</v>
      </c>
      <c r="AH14" s="15" t="s">
        <v>241</v>
      </c>
      <c r="AJ14" s="13" t="s">
        <v>367</v>
      </c>
      <c r="AL14" s="15">
        <v>5</v>
      </c>
      <c r="AM14" s="15">
        <v>20</v>
      </c>
      <c r="AN14" s="13"/>
      <c r="AO14" s="10"/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40" t="e">
        <v>#DIV/0!</v>
      </c>
      <c r="AY14" s="33" t="e">
        <f t="shared" si="1"/>
        <v>#DIV/0!</v>
      </c>
    </row>
    <row r="15" spans="1:51" x14ac:dyDescent="0.25">
      <c r="I15" s="1" t="s">
        <v>78</v>
      </c>
      <c r="J15" s="1" t="s">
        <v>48</v>
      </c>
      <c r="L15" s="9">
        <v>0.8</v>
      </c>
      <c r="P15" s="15" t="s">
        <v>286</v>
      </c>
      <c r="Q15" s="15" t="s">
        <v>227</v>
      </c>
      <c r="R15" s="15">
        <v>12</v>
      </c>
      <c r="S15" s="15">
        <v>2500</v>
      </c>
      <c r="T15" s="15" t="s">
        <v>238</v>
      </c>
      <c r="U15" s="15">
        <v>5</v>
      </c>
      <c r="AD15" s="15" t="s">
        <v>253</v>
      </c>
      <c r="AE15" s="15" t="s">
        <v>234</v>
      </c>
      <c r="AF15" s="16">
        <v>25</v>
      </c>
      <c r="AG15" s="15">
        <v>20</v>
      </c>
      <c r="AH15" s="15" t="s">
        <v>247</v>
      </c>
      <c r="AJ15" s="13" t="s">
        <v>368</v>
      </c>
      <c r="AL15" s="15">
        <v>10</v>
      </c>
      <c r="AM15" s="15">
        <v>20</v>
      </c>
      <c r="AN15" s="13"/>
      <c r="AO15" s="10"/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40" t="e">
        <v>#DIV/0!</v>
      </c>
      <c r="AY15" s="33" t="e">
        <f t="shared" si="1"/>
        <v>#DIV/0!</v>
      </c>
    </row>
    <row r="16" spans="1:51" x14ac:dyDescent="0.25">
      <c r="A16" s="12" t="s">
        <v>379</v>
      </c>
      <c r="E16" s="12" t="s">
        <v>383</v>
      </c>
      <c r="I16" s="1" t="s">
        <v>79</v>
      </c>
      <c r="J16" s="1" t="s">
        <v>2</v>
      </c>
      <c r="L16" s="9">
        <v>0.9</v>
      </c>
      <c r="P16" s="15" t="s">
        <v>287</v>
      </c>
      <c r="Q16" s="15" t="s">
        <v>227</v>
      </c>
      <c r="R16" s="15">
        <v>12</v>
      </c>
      <c r="S16" s="15">
        <v>2500</v>
      </c>
      <c r="T16" s="15" t="s">
        <v>238</v>
      </c>
      <c r="U16" s="15">
        <v>5</v>
      </c>
      <c r="AD16" s="15" t="s">
        <v>254</v>
      </c>
      <c r="AE16" s="15" t="s">
        <v>234</v>
      </c>
      <c r="AF16" s="16">
        <v>25</v>
      </c>
      <c r="AG16" s="15">
        <v>20</v>
      </c>
      <c r="AH16" s="15" t="s">
        <v>247</v>
      </c>
      <c r="AJ16" s="15" t="s">
        <v>353</v>
      </c>
      <c r="AL16" s="15">
        <v>5</v>
      </c>
      <c r="AM16" s="15">
        <v>20</v>
      </c>
      <c r="AN16" s="13"/>
      <c r="AO16" s="10"/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40" t="e">
        <v>#DIV/0!</v>
      </c>
      <c r="AY16" s="33" t="e">
        <f t="shared" si="1"/>
        <v>#DIV/0!</v>
      </c>
    </row>
    <row r="17" spans="1:54" x14ac:dyDescent="0.25">
      <c r="A17" s="12" t="s">
        <v>380</v>
      </c>
      <c r="E17" s="12" t="s">
        <v>385</v>
      </c>
      <c r="I17" s="1" t="s">
        <v>80</v>
      </c>
      <c r="J17" s="1" t="s">
        <v>2</v>
      </c>
      <c r="L17" s="9">
        <v>1</v>
      </c>
      <c r="P17" s="15" t="s">
        <v>260</v>
      </c>
      <c r="Q17" s="15" t="s">
        <v>227</v>
      </c>
      <c r="R17" s="15">
        <v>10</v>
      </c>
      <c r="S17" s="15">
        <v>2000</v>
      </c>
      <c r="T17" s="15" t="s">
        <v>238</v>
      </c>
      <c r="U17" s="15">
        <v>5</v>
      </c>
      <c r="AD17" s="15" t="s">
        <v>255</v>
      </c>
      <c r="AE17" s="15" t="s">
        <v>234</v>
      </c>
      <c r="AF17" s="16">
        <v>40</v>
      </c>
      <c r="AG17" s="15">
        <v>20</v>
      </c>
      <c r="AH17" s="15" t="s">
        <v>241</v>
      </c>
      <c r="AJ17" s="13" t="s">
        <v>299</v>
      </c>
      <c r="AK17" s="13"/>
      <c r="AL17" s="15">
        <v>5</v>
      </c>
      <c r="AM17" s="15">
        <v>20</v>
      </c>
      <c r="AN17" s="13"/>
      <c r="AO17" s="10"/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40" t="e">
        <v>#DIV/0!</v>
      </c>
      <c r="AY17" s="33" t="e">
        <f t="shared" si="1"/>
        <v>#DIV/0!</v>
      </c>
    </row>
    <row r="18" spans="1:54" x14ac:dyDescent="0.25">
      <c r="A18" s="12" t="s">
        <v>381</v>
      </c>
      <c r="E18" s="12" t="s">
        <v>384</v>
      </c>
      <c r="I18" s="1" t="s">
        <v>81</v>
      </c>
      <c r="J18" s="1" t="s">
        <v>55</v>
      </c>
      <c r="L18" s="8"/>
      <c r="P18" s="15" t="s">
        <v>288</v>
      </c>
      <c r="Q18" s="15" t="s">
        <v>227</v>
      </c>
      <c r="R18" s="15">
        <v>10</v>
      </c>
      <c r="S18" s="15">
        <v>2000</v>
      </c>
      <c r="T18" s="15" t="s">
        <v>238</v>
      </c>
      <c r="U18" s="15">
        <v>5</v>
      </c>
      <c r="AD18" s="15" t="s">
        <v>344</v>
      </c>
      <c r="AF18" s="16">
        <v>50</v>
      </c>
      <c r="AG18" s="15">
        <v>20</v>
      </c>
      <c r="AJ18" s="13" t="s">
        <v>366</v>
      </c>
      <c r="AK18" s="13"/>
      <c r="AL18" s="15">
        <v>5</v>
      </c>
      <c r="AM18" s="15">
        <v>20</v>
      </c>
      <c r="AO18" s="6"/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40" t="e">
        <v>#DIV/0!</v>
      </c>
      <c r="AY18" s="33" t="e">
        <f t="shared" si="1"/>
        <v>#DIV/0!</v>
      </c>
    </row>
    <row r="19" spans="1:54" x14ac:dyDescent="0.25">
      <c r="E19" s="12" t="s">
        <v>386</v>
      </c>
      <c r="I19" s="1" t="s">
        <v>82</v>
      </c>
      <c r="J19" s="1" t="s">
        <v>46</v>
      </c>
      <c r="L19" s="5" t="s">
        <v>378</v>
      </c>
      <c r="P19" s="15" t="s">
        <v>289</v>
      </c>
      <c r="Q19" s="15" t="s">
        <v>227</v>
      </c>
      <c r="R19" s="15">
        <v>15</v>
      </c>
      <c r="S19" s="15">
        <v>5000</v>
      </c>
      <c r="T19" s="15" t="s">
        <v>238</v>
      </c>
      <c r="U19" s="15">
        <v>5</v>
      </c>
      <c r="AD19" s="15" t="s">
        <v>345</v>
      </c>
      <c r="AF19" s="15">
        <v>5</v>
      </c>
      <c r="AG19" s="15">
        <v>20</v>
      </c>
      <c r="AJ19" s="15" t="s">
        <v>359</v>
      </c>
      <c r="AL19" s="15">
        <v>5</v>
      </c>
      <c r="AM19" s="15">
        <v>20</v>
      </c>
      <c r="AO19" s="6"/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40" t="e">
        <v>#DIV/0!</v>
      </c>
      <c r="AY19" s="33" t="e">
        <f t="shared" si="1"/>
        <v>#DIV/0!</v>
      </c>
    </row>
    <row r="20" spans="1:54" x14ac:dyDescent="0.25">
      <c r="A20" t="s">
        <v>217</v>
      </c>
      <c r="E20" s="12" t="s">
        <v>387</v>
      </c>
      <c r="I20" s="1" t="s">
        <v>83</v>
      </c>
      <c r="J20" s="1" t="s">
        <v>48</v>
      </c>
      <c r="L20" s="11">
        <v>1</v>
      </c>
      <c r="P20" s="15" t="s">
        <v>290</v>
      </c>
      <c r="Q20" s="15" t="s">
        <v>227</v>
      </c>
      <c r="R20" s="15">
        <v>10</v>
      </c>
      <c r="S20" s="15">
        <v>2000</v>
      </c>
      <c r="T20" s="15" t="s">
        <v>238</v>
      </c>
      <c r="U20" s="15">
        <v>5</v>
      </c>
      <c r="AD20" s="15" t="s">
        <v>346</v>
      </c>
      <c r="AF20" s="15">
        <v>5</v>
      </c>
      <c r="AG20" s="15">
        <v>20</v>
      </c>
      <c r="AJ20" s="15" t="s">
        <v>362</v>
      </c>
      <c r="AL20" s="15">
        <v>20</v>
      </c>
      <c r="AM20" s="15">
        <v>20</v>
      </c>
      <c r="AO20" s="6"/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40" t="e">
        <v>#DIV/0!</v>
      </c>
      <c r="AY20" s="33" t="e">
        <f t="shared" si="1"/>
        <v>#DIV/0!</v>
      </c>
    </row>
    <row r="21" spans="1:54" x14ac:dyDescent="0.25">
      <c r="A21" t="s">
        <v>394</v>
      </c>
      <c r="E21" s="12" t="s">
        <v>388</v>
      </c>
      <c r="I21" s="1" t="s">
        <v>84</v>
      </c>
      <c r="J21" s="1" t="s">
        <v>2</v>
      </c>
      <c r="L21" s="11">
        <v>2</v>
      </c>
      <c r="P21" s="15" t="s">
        <v>291</v>
      </c>
      <c r="Q21" s="15" t="s">
        <v>227</v>
      </c>
      <c r="R21" s="15">
        <v>15</v>
      </c>
      <c r="S21" s="15">
        <v>2500</v>
      </c>
      <c r="T21" s="15" t="s">
        <v>238</v>
      </c>
      <c r="U21" s="15">
        <v>5</v>
      </c>
      <c r="AD21" s="15" t="s">
        <v>341</v>
      </c>
      <c r="AF21" s="15">
        <v>20</v>
      </c>
      <c r="AG21" s="15">
        <v>20</v>
      </c>
      <c r="AJ21" s="13" t="s">
        <v>369</v>
      </c>
      <c r="AL21" s="15">
        <v>20</v>
      </c>
      <c r="AM21" s="15">
        <v>20</v>
      </c>
      <c r="AO21" s="6"/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40" t="e">
        <v>#DIV/0!</v>
      </c>
      <c r="AY21" s="33" t="e">
        <f t="shared" si="1"/>
        <v>#DIV/0!</v>
      </c>
    </row>
    <row r="22" spans="1:54" x14ac:dyDescent="0.25">
      <c r="A22" t="s">
        <v>395</v>
      </c>
      <c r="E22" s="12" t="s">
        <v>389</v>
      </c>
      <c r="I22" s="1" t="s">
        <v>85</v>
      </c>
      <c r="J22" s="1" t="s">
        <v>46</v>
      </c>
      <c r="L22" s="11">
        <v>3</v>
      </c>
      <c r="P22" s="15" t="s">
        <v>292</v>
      </c>
      <c r="Q22" s="15" t="s">
        <v>227</v>
      </c>
      <c r="R22" s="15">
        <v>12</v>
      </c>
      <c r="S22" s="15">
        <v>5000</v>
      </c>
      <c r="T22" s="15" t="s">
        <v>238</v>
      </c>
      <c r="U22" s="15">
        <v>5</v>
      </c>
      <c r="AD22" s="15" t="s">
        <v>256</v>
      </c>
      <c r="AE22" s="15" t="s">
        <v>234</v>
      </c>
      <c r="AF22" s="15">
        <v>40</v>
      </c>
      <c r="AG22" s="15">
        <v>20</v>
      </c>
      <c r="AH22" s="15" t="s">
        <v>241</v>
      </c>
      <c r="AJ22" s="13" t="s">
        <v>372</v>
      </c>
      <c r="AL22" s="15">
        <v>20</v>
      </c>
      <c r="AM22" s="15">
        <v>20</v>
      </c>
      <c r="AO22" s="6"/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40" t="e">
        <v>#DIV/0!</v>
      </c>
      <c r="AY22" s="33" t="e">
        <f t="shared" si="1"/>
        <v>#DIV/0!</v>
      </c>
    </row>
    <row r="23" spans="1:54" x14ac:dyDescent="0.25">
      <c r="A23" t="s">
        <v>396</v>
      </c>
      <c r="I23" s="1" t="s">
        <v>86</v>
      </c>
      <c r="J23" s="1" t="s">
        <v>52</v>
      </c>
      <c r="L23" s="11">
        <v>4</v>
      </c>
      <c r="P23" s="15" t="s">
        <v>293</v>
      </c>
      <c r="Q23" s="15" t="s">
        <v>227</v>
      </c>
      <c r="R23" s="15">
        <v>15</v>
      </c>
      <c r="S23" s="15">
        <v>5000</v>
      </c>
      <c r="T23" s="15" t="s">
        <v>238</v>
      </c>
      <c r="U23" s="15">
        <v>5</v>
      </c>
      <c r="AD23" s="15" t="s">
        <v>351</v>
      </c>
      <c r="AF23" s="15">
        <v>50</v>
      </c>
      <c r="AG23" s="15">
        <v>20</v>
      </c>
      <c r="AJ23" s="15" t="s">
        <v>363</v>
      </c>
      <c r="AL23" s="15">
        <v>20</v>
      </c>
      <c r="AM23" s="15">
        <v>20</v>
      </c>
      <c r="AO23" s="6"/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40" t="e">
        <v>#DIV/0!</v>
      </c>
      <c r="AY23" s="33" t="e">
        <f t="shared" si="1"/>
        <v>#DIV/0!</v>
      </c>
    </row>
    <row r="24" spans="1:54" x14ac:dyDescent="0.25">
      <c r="A24" t="s">
        <v>397</v>
      </c>
      <c r="E24" s="12" t="s">
        <v>455</v>
      </c>
      <c r="I24" s="1" t="s">
        <v>87</v>
      </c>
      <c r="J24" s="1" t="s">
        <v>55</v>
      </c>
      <c r="L24" s="11">
        <v>5</v>
      </c>
      <c r="P24" s="15" t="s">
        <v>294</v>
      </c>
      <c r="Q24" s="15" t="s">
        <v>227</v>
      </c>
      <c r="R24" s="15">
        <v>12</v>
      </c>
      <c r="S24" s="15">
        <v>5000</v>
      </c>
      <c r="T24" s="15" t="s">
        <v>238</v>
      </c>
      <c r="U24" s="15">
        <v>5</v>
      </c>
      <c r="AD24" s="15" t="s">
        <v>257</v>
      </c>
      <c r="AE24" s="15" t="s">
        <v>234</v>
      </c>
      <c r="AF24" s="15">
        <v>40</v>
      </c>
      <c r="AG24" s="15">
        <v>20</v>
      </c>
      <c r="AH24" s="15" t="s">
        <v>241</v>
      </c>
      <c r="AJ24" s="13" t="s">
        <v>402</v>
      </c>
      <c r="AL24" s="15">
        <v>20</v>
      </c>
      <c r="AM24" s="15">
        <v>20</v>
      </c>
      <c r="AO24" s="6"/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40" t="e">
        <v>#DIV/0!</v>
      </c>
      <c r="AY24" s="33" t="e">
        <f t="shared" si="1"/>
        <v>#DIV/0!</v>
      </c>
    </row>
    <row r="25" spans="1:54" x14ac:dyDescent="0.25">
      <c r="A25" t="s">
        <v>398</v>
      </c>
      <c r="E25" s="12" t="s">
        <v>439</v>
      </c>
      <c r="I25" s="1" t="s">
        <v>88</v>
      </c>
      <c r="J25" s="1" t="s">
        <v>52</v>
      </c>
      <c r="L25" s="11">
        <v>6</v>
      </c>
      <c r="P25" s="15" t="s">
        <v>295</v>
      </c>
      <c r="Q25" s="15" t="s">
        <v>227</v>
      </c>
      <c r="R25" s="15">
        <v>12</v>
      </c>
      <c r="S25" s="15">
        <v>5000</v>
      </c>
      <c r="T25" s="15" t="s">
        <v>238</v>
      </c>
      <c r="U25" s="15">
        <v>5</v>
      </c>
      <c r="AD25" s="15" t="s">
        <v>352</v>
      </c>
      <c r="AF25" s="15">
        <v>20</v>
      </c>
      <c r="AG25" s="15">
        <v>20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0</v>
      </c>
      <c r="AW25" s="33">
        <v>0</v>
      </c>
      <c r="AX25" s="40" t="e">
        <v>#DIV/0!</v>
      </c>
      <c r="AY25" s="33" t="e">
        <f t="shared" si="1"/>
        <v>#DIV/0!</v>
      </c>
    </row>
    <row r="26" spans="1:54" x14ac:dyDescent="0.25">
      <c r="A26" t="s">
        <v>399</v>
      </c>
      <c r="E26" s="12" t="s">
        <v>474</v>
      </c>
      <c r="I26" s="1" t="s">
        <v>89</v>
      </c>
      <c r="J26" s="1" t="s">
        <v>46</v>
      </c>
      <c r="L26" s="11">
        <v>7</v>
      </c>
      <c r="P26" s="15" t="s">
        <v>296</v>
      </c>
      <c r="Q26" s="15" t="s">
        <v>227</v>
      </c>
      <c r="R26" s="15">
        <v>15</v>
      </c>
      <c r="S26" s="15">
        <v>1200</v>
      </c>
      <c r="T26" s="15" t="s">
        <v>238</v>
      </c>
      <c r="U26" s="15">
        <v>20</v>
      </c>
      <c r="AD26" s="15" t="s">
        <v>263</v>
      </c>
      <c r="AE26" s="15" t="s">
        <v>234</v>
      </c>
      <c r="AF26" s="15">
        <v>40</v>
      </c>
      <c r="AG26" s="15">
        <v>20</v>
      </c>
      <c r="AH26" s="15" t="s">
        <v>241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40" t="e">
        <v>#DIV/0!</v>
      </c>
      <c r="AY26" s="33" t="e">
        <f t="shared" si="1"/>
        <v>#DIV/0!</v>
      </c>
    </row>
    <row r="27" spans="1:54" x14ac:dyDescent="0.25">
      <c r="A27" t="s">
        <v>400</v>
      </c>
      <c r="I27" s="1" t="s">
        <v>90</v>
      </c>
      <c r="J27" s="1" t="s">
        <v>46</v>
      </c>
      <c r="L27" s="11">
        <v>8</v>
      </c>
      <c r="P27" s="15" t="s">
        <v>297</v>
      </c>
      <c r="Q27" s="15" t="s">
        <v>227</v>
      </c>
      <c r="R27" s="15">
        <v>15</v>
      </c>
      <c r="S27" s="15">
        <v>1200</v>
      </c>
      <c r="T27" s="15" t="s">
        <v>238</v>
      </c>
      <c r="U27" s="15">
        <v>20</v>
      </c>
      <c r="AD27" s="15" t="s">
        <v>342</v>
      </c>
      <c r="AF27" s="15">
        <v>5</v>
      </c>
      <c r="AG27" s="15">
        <v>20</v>
      </c>
    </row>
    <row r="28" spans="1:54" x14ac:dyDescent="0.25">
      <c r="A28" t="s">
        <v>374</v>
      </c>
      <c r="I28" s="1" t="s">
        <v>91</v>
      </c>
      <c r="J28" s="1" t="s">
        <v>50</v>
      </c>
      <c r="L28" s="11">
        <v>9</v>
      </c>
      <c r="P28" s="15" t="s">
        <v>298</v>
      </c>
      <c r="Q28" s="15" t="s">
        <v>227</v>
      </c>
      <c r="R28" s="15">
        <v>8</v>
      </c>
      <c r="S28" s="15">
        <v>2000</v>
      </c>
      <c r="T28" s="15" t="s">
        <v>238</v>
      </c>
      <c r="U28" s="15">
        <v>5</v>
      </c>
      <c r="AD28" s="15" t="s">
        <v>343</v>
      </c>
      <c r="AF28" s="15">
        <v>5</v>
      </c>
      <c r="AG28" s="15">
        <v>20</v>
      </c>
      <c r="AP28" s="41" t="s">
        <v>454</v>
      </c>
      <c r="AQ28" s="41" t="s">
        <v>462</v>
      </c>
      <c r="AR28" s="41" t="s">
        <v>463</v>
      </c>
      <c r="AS28" s="41" t="s">
        <v>464</v>
      </c>
      <c r="AT28" s="41" t="s">
        <v>465</v>
      </c>
      <c r="AU28" s="41" t="s">
        <v>466</v>
      </c>
      <c r="AV28" s="41" t="s">
        <v>467</v>
      </c>
      <c r="AW28" s="41" t="s">
        <v>468</v>
      </c>
      <c r="AX28" s="41" t="s">
        <v>441</v>
      </c>
      <c r="AY28" s="41" t="s">
        <v>469</v>
      </c>
      <c r="AZ28" s="41" t="s">
        <v>442</v>
      </c>
      <c r="BA28" s="45" t="s">
        <v>470</v>
      </c>
      <c r="BB28" s="41" t="s">
        <v>471</v>
      </c>
    </row>
    <row r="29" spans="1:54" ht="15" customHeight="1" x14ac:dyDescent="0.25">
      <c r="A29" t="s">
        <v>401</v>
      </c>
      <c r="E29" s="12" t="s">
        <v>222</v>
      </c>
      <c r="I29" s="1" t="s">
        <v>92</v>
      </c>
      <c r="J29" s="1" t="s">
        <v>48</v>
      </c>
      <c r="L29" s="11">
        <v>10</v>
      </c>
      <c r="P29" s="15" t="s">
        <v>299</v>
      </c>
      <c r="Q29" s="15" t="s">
        <v>227</v>
      </c>
      <c r="R29" s="15">
        <v>5</v>
      </c>
      <c r="S29" s="15">
        <v>14600</v>
      </c>
      <c r="T29" s="15">
        <v>1825</v>
      </c>
      <c r="U29" s="15">
        <v>0</v>
      </c>
      <c r="AD29" s="15" t="s">
        <v>265</v>
      </c>
      <c r="AE29" s="15" t="s">
        <v>234</v>
      </c>
      <c r="AF29" s="15">
        <v>40</v>
      </c>
      <c r="AG29" s="15">
        <v>20</v>
      </c>
      <c r="AH29" s="15" t="s">
        <v>241</v>
      </c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5"/>
      <c r="BB29" s="43"/>
    </row>
    <row r="30" spans="1:54" x14ac:dyDescent="0.25">
      <c r="A30" t="s">
        <v>402</v>
      </c>
      <c r="E30" s="12" t="s">
        <v>475</v>
      </c>
      <c r="I30" s="1" t="s">
        <v>93</v>
      </c>
      <c r="J30" s="1" t="s">
        <v>2</v>
      </c>
      <c r="L30" s="46">
        <v>11</v>
      </c>
      <c r="P30" s="15" t="s">
        <v>300</v>
      </c>
      <c r="Q30" s="15" t="s">
        <v>227</v>
      </c>
      <c r="R30" s="15">
        <v>8</v>
      </c>
      <c r="S30" s="15">
        <v>2000</v>
      </c>
      <c r="T30" s="15" t="s">
        <v>238</v>
      </c>
      <c r="U30" s="15">
        <v>5</v>
      </c>
      <c r="AD30" s="15" t="s">
        <v>266</v>
      </c>
      <c r="AE30" s="15" t="s">
        <v>234</v>
      </c>
      <c r="AF30" s="15">
        <v>50</v>
      </c>
      <c r="AG30" s="15">
        <v>20</v>
      </c>
      <c r="AH30" s="15" t="s">
        <v>241</v>
      </c>
      <c r="AP30" s="33">
        <f t="shared" ref="AP30:AP43" si="2">AP13</f>
        <v>0</v>
      </c>
      <c r="AQ30" s="39" t="s">
        <v>483</v>
      </c>
      <c r="AR30" s="39" t="s">
        <v>483</v>
      </c>
      <c r="AS30" s="39" t="str">
        <f t="shared" ref="AS30:AS43" si="3">IF(AR30="","",AQ13*AR30)</f>
        <v/>
      </c>
      <c r="AT30" s="39" t="s">
        <v>483</v>
      </c>
      <c r="AU30" s="39" t="str">
        <f t="shared" ref="AU30:AU43" si="4">IF(AT30="","",AT30*AQ13)</f>
        <v/>
      </c>
      <c r="AV30" s="39" t="str">
        <f t="shared" ref="AV30:AV43" si="5">IF(AT30="","",AT30*AQ13)</f>
        <v/>
      </c>
      <c r="AW30" s="39" t="s">
        <v>483</v>
      </c>
      <c r="AX30" s="39" t="str">
        <f t="shared" ref="AX30:AX43" si="6">IF(AW30="","",AW30*AQ13)</f>
        <v/>
      </c>
      <c r="AY30" s="39" t="s">
        <v>483</v>
      </c>
      <c r="AZ30" s="39" t="str">
        <f t="shared" ref="AZ30:AZ43" si="7">IF(AY30="","",AY30*AQ13)</f>
        <v/>
      </c>
      <c r="BA30" s="39" t="e">
        <f t="shared" ref="BA30:BA43" si="8">SUM(AZ30,AX30,AV30,AU30,AS30,AY13)</f>
        <v>#DIV/0!</v>
      </c>
      <c r="BB30" s="37">
        <v>0</v>
      </c>
    </row>
    <row r="31" spans="1:54" x14ac:dyDescent="0.25">
      <c r="E31" s="12" t="s">
        <v>476</v>
      </c>
      <c r="I31" s="1" t="s">
        <v>94</v>
      </c>
      <c r="J31" s="1" t="s">
        <v>58</v>
      </c>
      <c r="L31" s="46">
        <v>12</v>
      </c>
      <c r="P31" s="15" t="s">
        <v>301</v>
      </c>
      <c r="Q31" s="15" t="s">
        <v>227</v>
      </c>
      <c r="R31" s="15">
        <v>12</v>
      </c>
      <c r="S31" s="15">
        <v>2500</v>
      </c>
      <c r="T31" s="15" t="s">
        <v>238</v>
      </c>
      <c r="U31" s="15">
        <v>5</v>
      </c>
      <c r="AD31" s="15" t="s">
        <v>371</v>
      </c>
      <c r="AF31" s="15">
        <v>40</v>
      </c>
      <c r="AG31" s="15">
        <v>20</v>
      </c>
      <c r="AP31" s="33">
        <f t="shared" si="2"/>
        <v>0</v>
      </c>
      <c r="AQ31" s="39" t="s">
        <v>483</v>
      </c>
      <c r="AR31" s="39" t="s">
        <v>483</v>
      </c>
      <c r="AS31" s="39" t="str">
        <f t="shared" si="3"/>
        <v/>
      </c>
      <c r="AT31" s="39" t="s">
        <v>483</v>
      </c>
      <c r="AU31" s="39" t="str">
        <f t="shared" si="4"/>
        <v/>
      </c>
      <c r="AV31" s="39" t="str">
        <f t="shared" si="5"/>
        <v/>
      </c>
      <c r="AW31" s="39" t="s">
        <v>483</v>
      </c>
      <c r="AX31" s="39" t="str">
        <f t="shared" si="6"/>
        <v/>
      </c>
      <c r="AY31" s="39" t="s">
        <v>483</v>
      </c>
      <c r="AZ31" s="39" t="str">
        <f t="shared" si="7"/>
        <v/>
      </c>
      <c r="BA31" s="39" t="e">
        <f t="shared" si="8"/>
        <v>#DIV/0!</v>
      </c>
      <c r="BB31" s="37">
        <v>0</v>
      </c>
    </row>
    <row r="32" spans="1:54" x14ac:dyDescent="0.25">
      <c r="E32" s="12" t="s">
        <v>327</v>
      </c>
      <c r="I32" s="1" t="s">
        <v>95</v>
      </c>
      <c r="J32" s="1" t="s">
        <v>46</v>
      </c>
      <c r="L32" s="46"/>
      <c r="P32" s="15" t="s">
        <v>302</v>
      </c>
      <c r="Q32" s="15" t="s">
        <v>227</v>
      </c>
      <c r="R32" s="15">
        <v>12</v>
      </c>
      <c r="S32" s="15">
        <v>2500</v>
      </c>
      <c r="T32" s="15" t="s">
        <v>238</v>
      </c>
      <c r="U32" s="15">
        <v>5</v>
      </c>
      <c r="AD32" s="15" t="s">
        <v>338</v>
      </c>
      <c r="AF32" s="15">
        <v>5</v>
      </c>
      <c r="AG32" s="15">
        <v>20</v>
      </c>
      <c r="AP32" s="33">
        <f t="shared" si="2"/>
        <v>0</v>
      </c>
      <c r="AQ32" s="39" t="s">
        <v>483</v>
      </c>
      <c r="AR32" s="39" t="s">
        <v>483</v>
      </c>
      <c r="AS32" s="39" t="str">
        <f t="shared" si="3"/>
        <v/>
      </c>
      <c r="AT32" s="39" t="s">
        <v>483</v>
      </c>
      <c r="AU32" s="39" t="str">
        <f t="shared" si="4"/>
        <v/>
      </c>
      <c r="AV32" s="39" t="str">
        <f t="shared" si="5"/>
        <v/>
      </c>
      <c r="AW32" s="39" t="s">
        <v>483</v>
      </c>
      <c r="AX32" s="39" t="str">
        <f t="shared" si="6"/>
        <v/>
      </c>
      <c r="AY32" s="39" t="s">
        <v>483</v>
      </c>
      <c r="AZ32" s="39" t="str">
        <f t="shared" si="7"/>
        <v/>
      </c>
      <c r="BA32" s="39" t="e">
        <f t="shared" si="8"/>
        <v>#DIV/0!</v>
      </c>
      <c r="BB32" s="37">
        <v>0</v>
      </c>
    </row>
    <row r="33" spans="9:54" x14ac:dyDescent="0.25">
      <c r="I33" s="1" t="s">
        <v>96</v>
      </c>
      <c r="J33" s="1" t="s">
        <v>50</v>
      </c>
      <c r="P33" s="15" t="s">
        <v>337</v>
      </c>
      <c r="Q33" s="15" t="s">
        <v>227</v>
      </c>
      <c r="R33" s="15">
        <v>15</v>
      </c>
      <c r="S33" s="15">
        <v>2500</v>
      </c>
      <c r="T33" s="15" t="s">
        <v>238</v>
      </c>
      <c r="U33" s="15">
        <v>5</v>
      </c>
      <c r="AD33" s="15" t="s">
        <v>339</v>
      </c>
      <c r="AF33" s="15">
        <v>5</v>
      </c>
      <c r="AG33" s="15">
        <v>20</v>
      </c>
      <c r="AP33" s="33">
        <f t="shared" si="2"/>
        <v>0</v>
      </c>
      <c r="AQ33" s="39" t="s">
        <v>483</v>
      </c>
      <c r="AR33" s="39" t="s">
        <v>483</v>
      </c>
      <c r="AS33" s="39" t="str">
        <f t="shared" si="3"/>
        <v/>
      </c>
      <c r="AT33" s="39" t="s">
        <v>483</v>
      </c>
      <c r="AU33" s="39" t="str">
        <f t="shared" si="4"/>
        <v/>
      </c>
      <c r="AV33" s="39" t="str">
        <f t="shared" si="5"/>
        <v/>
      </c>
      <c r="AW33" s="39" t="s">
        <v>483</v>
      </c>
      <c r="AX33" s="39" t="str">
        <f t="shared" si="6"/>
        <v/>
      </c>
      <c r="AY33" s="39" t="s">
        <v>483</v>
      </c>
      <c r="AZ33" s="39" t="str">
        <f t="shared" si="7"/>
        <v/>
      </c>
      <c r="BA33" s="39" t="e">
        <f t="shared" si="8"/>
        <v>#DIV/0!</v>
      </c>
      <c r="BB33" s="37">
        <v>0</v>
      </c>
    </row>
    <row r="34" spans="9:54" x14ac:dyDescent="0.25">
      <c r="I34" s="1" t="s">
        <v>97</v>
      </c>
      <c r="J34" s="1" t="s">
        <v>48</v>
      </c>
      <c r="P34" s="15" t="s">
        <v>279</v>
      </c>
      <c r="Q34" s="15" t="s">
        <v>227</v>
      </c>
      <c r="R34" s="15">
        <v>12</v>
      </c>
      <c r="S34" s="15">
        <v>2500</v>
      </c>
      <c r="T34" s="15" t="s">
        <v>238</v>
      </c>
      <c r="U34" s="15">
        <v>5</v>
      </c>
      <c r="AD34" s="15" t="s">
        <v>403</v>
      </c>
      <c r="AF34" s="15">
        <v>50</v>
      </c>
      <c r="AG34" s="15">
        <v>20</v>
      </c>
      <c r="AP34" s="33">
        <f t="shared" si="2"/>
        <v>0</v>
      </c>
      <c r="AQ34" s="39" t="s">
        <v>483</v>
      </c>
      <c r="AR34" s="39" t="s">
        <v>483</v>
      </c>
      <c r="AS34" s="39" t="str">
        <f t="shared" si="3"/>
        <v/>
      </c>
      <c r="AT34" s="39" t="s">
        <v>483</v>
      </c>
      <c r="AU34" s="39" t="str">
        <f t="shared" si="4"/>
        <v/>
      </c>
      <c r="AV34" s="39" t="str">
        <f t="shared" si="5"/>
        <v/>
      </c>
      <c r="AW34" s="39" t="s">
        <v>483</v>
      </c>
      <c r="AX34" s="39" t="str">
        <f t="shared" si="6"/>
        <v/>
      </c>
      <c r="AY34" s="39" t="s">
        <v>483</v>
      </c>
      <c r="AZ34" s="39" t="str">
        <f t="shared" si="7"/>
        <v/>
      </c>
      <c r="BA34" s="39" t="e">
        <f t="shared" si="8"/>
        <v>#DIV/0!</v>
      </c>
      <c r="BB34" s="37">
        <v>0</v>
      </c>
    </row>
    <row r="35" spans="9:54" x14ac:dyDescent="0.25">
      <c r="I35" s="1" t="s">
        <v>98</v>
      </c>
      <c r="J35" s="1" t="s">
        <v>52</v>
      </c>
      <c r="P35" s="15" t="s">
        <v>303</v>
      </c>
      <c r="Q35" s="15" t="s">
        <v>227</v>
      </c>
      <c r="R35" s="15">
        <v>15</v>
      </c>
      <c r="S35" s="15">
        <v>5000</v>
      </c>
      <c r="T35" s="15" t="s">
        <v>238</v>
      </c>
      <c r="U35" s="15">
        <v>5</v>
      </c>
      <c r="AD35" s="15" t="s">
        <v>269</v>
      </c>
      <c r="AE35" s="15" t="s">
        <v>234</v>
      </c>
      <c r="AF35" s="15">
        <v>40</v>
      </c>
      <c r="AG35" s="15">
        <v>20</v>
      </c>
      <c r="AH35" s="15" t="s">
        <v>247</v>
      </c>
      <c r="AP35" s="33">
        <f t="shared" si="2"/>
        <v>0</v>
      </c>
      <c r="AQ35" s="39" t="s">
        <v>483</v>
      </c>
      <c r="AR35" s="39" t="s">
        <v>483</v>
      </c>
      <c r="AS35" s="39" t="str">
        <f t="shared" si="3"/>
        <v/>
      </c>
      <c r="AT35" s="39" t="s">
        <v>483</v>
      </c>
      <c r="AU35" s="39" t="str">
        <f t="shared" si="4"/>
        <v/>
      </c>
      <c r="AV35" s="39" t="str">
        <f t="shared" si="5"/>
        <v/>
      </c>
      <c r="AW35" s="39" t="s">
        <v>483</v>
      </c>
      <c r="AX35" s="39" t="str">
        <f t="shared" si="6"/>
        <v/>
      </c>
      <c r="AY35" s="39" t="s">
        <v>483</v>
      </c>
      <c r="AZ35" s="39" t="str">
        <f t="shared" si="7"/>
        <v/>
      </c>
      <c r="BA35" s="39" t="e">
        <f t="shared" si="8"/>
        <v>#DIV/0!</v>
      </c>
      <c r="BB35" s="37">
        <v>0</v>
      </c>
    </row>
    <row r="36" spans="9:54" x14ac:dyDescent="0.25">
      <c r="I36" s="1" t="s">
        <v>99</v>
      </c>
      <c r="J36" s="1" t="s">
        <v>46</v>
      </c>
      <c r="P36" s="15" t="s">
        <v>304</v>
      </c>
      <c r="Q36" s="15" t="s">
        <v>227</v>
      </c>
      <c r="R36" s="15">
        <v>15</v>
      </c>
      <c r="S36" s="15">
        <v>5000</v>
      </c>
      <c r="T36" s="15" t="s">
        <v>238</v>
      </c>
      <c r="U36" s="15">
        <v>5</v>
      </c>
      <c r="AD36" s="15" t="s">
        <v>349</v>
      </c>
      <c r="AE36" s="15" t="s">
        <v>234</v>
      </c>
      <c r="AF36" s="15">
        <v>50</v>
      </c>
      <c r="AG36" s="15">
        <v>20</v>
      </c>
      <c r="AP36" s="33">
        <f t="shared" si="2"/>
        <v>0</v>
      </c>
      <c r="AQ36" s="39" t="s">
        <v>483</v>
      </c>
      <c r="AR36" s="39" t="s">
        <v>483</v>
      </c>
      <c r="AS36" s="39" t="str">
        <f t="shared" si="3"/>
        <v/>
      </c>
      <c r="AT36" s="39" t="s">
        <v>483</v>
      </c>
      <c r="AU36" s="39" t="str">
        <f t="shared" si="4"/>
        <v/>
      </c>
      <c r="AV36" s="39" t="str">
        <f t="shared" si="5"/>
        <v/>
      </c>
      <c r="AW36" s="39" t="s">
        <v>483</v>
      </c>
      <c r="AX36" s="39" t="str">
        <f t="shared" si="6"/>
        <v/>
      </c>
      <c r="AY36" s="39" t="s">
        <v>483</v>
      </c>
      <c r="AZ36" s="39" t="str">
        <f t="shared" si="7"/>
        <v/>
      </c>
      <c r="BA36" s="39" t="e">
        <f t="shared" si="8"/>
        <v>#DIV/0!</v>
      </c>
      <c r="BB36" s="37">
        <v>0</v>
      </c>
    </row>
    <row r="37" spans="9:54" x14ac:dyDescent="0.25">
      <c r="I37" s="1" t="s">
        <v>100</v>
      </c>
      <c r="J37" s="1" t="s">
        <v>52</v>
      </c>
      <c r="P37" s="15" t="s">
        <v>402</v>
      </c>
      <c r="Q37" s="15" t="s">
        <v>227</v>
      </c>
      <c r="R37" s="15">
        <v>15</v>
      </c>
      <c r="S37" s="15">
        <v>5000</v>
      </c>
      <c r="U37" s="15">
        <v>10</v>
      </c>
      <c r="AD37" s="15" t="s">
        <v>402</v>
      </c>
      <c r="AE37" s="15" t="s">
        <v>234</v>
      </c>
      <c r="AF37" s="15">
        <v>10</v>
      </c>
      <c r="AG37" s="15">
        <v>20</v>
      </c>
      <c r="AP37" s="33">
        <f t="shared" si="2"/>
        <v>0</v>
      </c>
      <c r="AQ37" s="39" t="s">
        <v>483</v>
      </c>
      <c r="AR37" s="39" t="s">
        <v>483</v>
      </c>
      <c r="AS37" s="39" t="str">
        <f t="shared" si="3"/>
        <v/>
      </c>
      <c r="AT37" s="39" t="s">
        <v>483</v>
      </c>
      <c r="AU37" s="39" t="str">
        <f t="shared" si="4"/>
        <v/>
      </c>
      <c r="AV37" s="39" t="str">
        <f t="shared" si="5"/>
        <v/>
      </c>
      <c r="AW37" s="39" t="s">
        <v>483</v>
      </c>
      <c r="AX37" s="39" t="str">
        <f t="shared" si="6"/>
        <v/>
      </c>
      <c r="AY37" s="39" t="s">
        <v>483</v>
      </c>
      <c r="AZ37" s="39" t="str">
        <f t="shared" si="7"/>
        <v/>
      </c>
      <c r="BA37" s="39" t="e">
        <f t="shared" si="8"/>
        <v>#DIV/0!</v>
      </c>
      <c r="BB37" s="37">
        <v>0</v>
      </c>
    </row>
    <row r="38" spans="9:54" x14ac:dyDescent="0.25">
      <c r="I38" s="1" t="s">
        <v>101</v>
      </c>
      <c r="J38" s="1" t="s">
        <v>48</v>
      </c>
      <c r="AP38" s="33">
        <f t="shared" si="2"/>
        <v>0</v>
      </c>
      <c r="AQ38" s="39" t="s">
        <v>483</v>
      </c>
      <c r="AR38" s="39" t="s">
        <v>483</v>
      </c>
      <c r="AS38" s="39" t="str">
        <f t="shared" si="3"/>
        <v/>
      </c>
      <c r="AT38" s="39" t="s">
        <v>483</v>
      </c>
      <c r="AU38" s="39" t="str">
        <f t="shared" si="4"/>
        <v/>
      </c>
      <c r="AV38" s="39" t="str">
        <f t="shared" si="5"/>
        <v/>
      </c>
      <c r="AW38" s="39" t="s">
        <v>483</v>
      </c>
      <c r="AX38" s="39" t="str">
        <f t="shared" si="6"/>
        <v/>
      </c>
      <c r="AY38" s="39" t="s">
        <v>483</v>
      </c>
      <c r="AZ38" s="39" t="str">
        <f t="shared" si="7"/>
        <v/>
      </c>
      <c r="BA38" s="39" t="e">
        <f t="shared" si="8"/>
        <v>#DIV/0!</v>
      </c>
      <c r="BB38" s="37">
        <v>0</v>
      </c>
    </row>
    <row r="39" spans="9:54" x14ac:dyDescent="0.25">
      <c r="I39" s="1" t="s">
        <v>102</v>
      </c>
      <c r="J39" s="1" t="s">
        <v>2</v>
      </c>
      <c r="AP39" s="33">
        <f t="shared" si="2"/>
        <v>0</v>
      </c>
      <c r="AQ39" s="39" t="s">
        <v>483</v>
      </c>
      <c r="AR39" s="39" t="s">
        <v>483</v>
      </c>
      <c r="AS39" s="39" t="str">
        <f t="shared" si="3"/>
        <v/>
      </c>
      <c r="AT39" s="39" t="s">
        <v>483</v>
      </c>
      <c r="AU39" s="39" t="str">
        <f t="shared" si="4"/>
        <v/>
      </c>
      <c r="AV39" s="39" t="str">
        <f t="shared" si="5"/>
        <v/>
      </c>
      <c r="AW39" s="39" t="s">
        <v>483</v>
      </c>
      <c r="AX39" s="39" t="str">
        <f t="shared" si="6"/>
        <v/>
      </c>
      <c r="AY39" s="39" t="s">
        <v>483</v>
      </c>
      <c r="AZ39" s="39" t="str">
        <f t="shared" si="7"/>
        <v/>
      </c>
      <c r="BA39" s="39" t="e">
        <f t="shared" si="8"/>
        <v>#DIV/0!</v>
      </c>
      <c r="BB39" s="37">
        <v>0</v>
      </c>
    </row>
    <row r="40" spans="9:54" x14ac:dyDescent="0.25">
      <c r="I40" s="1" t="s">
        <v>103</v>
      </c>
      <c r="J40" s="1" t="s">
        <v>52</v>
      </c>
      <c r="AP40" s="33">
        <f t="shared" si="2"/>
        <v>0</v>
      </c>
      <c r="AQ40" s="39" t="s">
        <v>483</v>
      </c>
      <c r="AR40" s="39" t="s">
        <v>483</v>
      </c>
      <c r="AS40" s="39" t="str">
        <f t="shared" si="3"/>
        <v/>
      </c>
      <c r="AT40" s="39" t="s">
        <v>483</v>
      </c>
      <c r="AU40" s="39" t="str">
        <f t="shared" si="4"/>
        <v/>
      </c>
      <c r="AV40" s="39" t="str">
        <f t="shared" si="5"/>
        <v/>
      </c>
      <c r="AW40" s="39" t="s">
        <v>483</v>
      </c>
      <c r="AX40" s="39" t="str">
        <f t="shared" si="6"/>
        <v/>
      </c>
      <c r="AY40" s="39" t="s">
        <v>483</v>
      </c>
      <c r="AZ40" s="39" t="str">
        <f t="shared" si="7"/>
        <v/>
      </c>
      <c r="BA40" s="39" t="e">
        <f t="shared" si="8"/>
        <v>#DIV/0!</v>
      </c>
      <c r="BB40" s="37">
        <v>0</v>
      </c>
    </row>
    <row r="41" spans="9:54" x14ac:dyDescent="0.25">
      <c r="I41" s="1" t="s">
        <v>104</v>
      </c>
      <c r="J41" s="1" t="s">
        <v>2</v>
      </c>
      <c r="AP41" s="33">
        <f t="shared" si="2"/>
        <v>0</v>
      </c>
      <c r="AQ41" s="39" t="s">
        <v>483</v>
      </c>
      <c r="AR41" s="39" t="s">
        <v>483</v>
      </c>
      <c r="AS41" s="39" t="str">
        <f t="shared" si="3"/>
        <v/>
      </c>
      <c r="AT41" s="39" t="s">
        <v>483</v>
      </c>
      <c r="AU41" s="39" t="str">
        <f t="shared" si="4"/>
        <v/>
      </c>
      <c r="AV41" s="39" t="str">
        <f t="shared" si="5"/>
        <v/>
      </c>
      <c r="AW41" s="39" t="s">
        <v>483</v>
      </c>
      <c r="AX41" s="39" t="str">
        <f t="shared" si="6"/>
        <v/>
      </c>
      <c r="AY41" s="39" t="s">
        <v>483</v>
      </c>
      <c r="AZ41" s="39" t="str">
        <f t="shared" si="7"/>
        <v/>
      </c>
      <c r="BA41" s="39" t="e">
        <f t="shared" si="8"/>
        <v>#DIV/0!</v>
      </c>
      <c r="BB41" s="37">
        <v>0</v>
      </c>
    </row>
    <row r="42" spans="9:54" x14ac:dyDescent="0.25">
      <c r="I42" s="1" t="s">
        <v>105</v>
      </c>
      <c r="J42" s="1" t="s">
        <v>2</v>
      </c>
      <c r="AP42" s="33">
        <f t="shared" si="2"/>
        <v>0</v>
      </c>
      <c r="AQ42" s="39" t="s">
        <v>483</v>
      </c>
      <c r="AR42" s="39" t="s">
        <v>483</v>
      </c>
      <c r="AS42" s="39" t="str">
        <f t="shared" si="3"/>
        <v/>
      </c>
      <c r="AT42" s="39" t="s">
        <v>483</v>
      </c>
      <c r="AU42" s="39" t="str">
        <f t="shared" si="4"/>
        <v/>
      </c>
      <c r="AV42" s="39" t="str">
        <f t="shared" si="5"/>
        <v/>
      </c>
      <c r="AW42" s="39" t="s">
        <v>483</v>
      </c>
      <c r="AX42" s="39" t="str">
        <f t="shared" si="6"/>
        <v/>
      </c>
      <c r="AY42" s="39" t="s">
        <v>483</v>
      </c>
      <c r="AZ42" s="39" t="str">
        <f t="shared" si="7"/>
        <v/>
      </c>
      <c r="BA42" s="39" t="e">
        <f t="shared" si="8"/>
        <v>#DIV/0!</v>
      </c>
      <c r="BB42" s="37">
        <v>0</v>
      </c>
    </row>
    <row r="43" spans="9:54" x14ac:dyDescent="0.25">
      <c r="I43" s="1" t="s">
        <v>106</v>
      </c>
      <c r="J43" s="1" t="s">
        <v>55</v>
      </c>
      <c r="AP43" s="33">
        <f t="shared" si="2"/>
        <v>0</v>
      </c>
      <c r="AQ43" s="39" t="s">
        <v>483</v>
      </c>
      <c r="AR43" s="39" t="s">
        <v>483</v>
      </c>
      <c r="AS43" s="39" t="str">
        <f t="shared" si="3"/>
        <v/>
      </c>
      <c r="AT43" s="39" t="s">
        <v>483</v>
      </c>
      <c r="AU43" s="39" t="str">
        <f t="shared" si="4"/>
        <v/>
      </c>
      <c r="AV43" s="39" t="str">
        <f t="shared" si="5"/>
        <v/>
      </c>
      <c r="AW43" s="39" t="s">
        <v>483</v>
      </c>
      <c r="AX43" s="39" t="str">
        <f t="shared" si="6"/>
        <v/>
      </c>
      <c r="AY43" s="39" t="s">
        <v>483</v>
      </c>
      <c r="AZ43" s="39" t="str">
        <f t="shared" si="7"/>
        <v/>
      </c>
      <c r="BA43" s="39" t="e">
        <f t="shared" si="8"/>
        <v>#DIV/0!</v>
      </c>
      <c r="BB43" s="37">
        <v>0</v>
      </c>
    </row>
    <row r="44" spans="9:54" x14ac:dyDescent="0.25">
      <c r="I44" s="1" t="s">
        <v>107</v>
      </c>
      <c r="J44" s="1" t="s">
        <v>58</v>
      </c>
      <c r="AP44" s="32"/>
      <c r="AQ44" s="32"/>
      <c r="AR44" s="32"/>
      <c r="AS44" s="37">
        <f>SUM(AS30:AS43)</f>
        <v>0</v>
      </c>
      <c r="AT44" s="32"/>
      <c r="AU44" s="32"/>
      <c r="AV44" s="37">
        <f>SUM(AU30:AU43)</f>
        <v>0</v>
      </c>
      <c r="AW44" s="37">
        <f>SUM(AV30:AV43)</f>
        <v>0</v>
      </c>
      <c r="AX44" s="32"/>
      <c r="AY44" s="32"/>
      <c r="AZ44" s="38"/>
      <c r="BA44" s="32"/>
      <c r="BB44" s="38"/>
    </row>
    <row r="45" spans="9:54" ht="21" x14ac:dyDescent="0.25">
      <c r="I45" s="1" t="s">
        <v>108</v>
      </c>
      <c r="J45" s="1" t="s">
        <v>52</v>
      </c>
      <c r="AP45" s="36" t="s">
        <v>472</v>
      </c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</row>
    <row r="46" spans="9:54" ht="21" x14ac:dyDescent="0.25">
      <c r="I46" s="1" t="s">
        <v>109</v>
      </c>
      <c r="J46" s="1" t="s">
        <v>46</v>
      </c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</row>
    <row r="47" spans="9:54" ht="15" customHeight="1" x14ac:dyDescent="0.25">
      <c r="I47" s="1" t="s">
        <v>110</v>
      </c>
      <c r="J47" s="1" t="s">
        <v>55</v>
      </c>
      <c r="AP47" s="45" t="s">
        <v>454</v>
      </c>
      <c r="AQ47" s="45" t="s">
        <v>473</v>
      </c>
      <c r="AR47" s="45" t="s">
        <v>458</v>
      </c>
      <c r="AS47" s="45" t="s">
        <v>459</v>
      </c>
      <c r="AT47" s="42" t="s">
        <v>460</v>
      </c>
      <c r="AU47" s="41" t="s">
        <v>461</v>
      </c>
    </row>
    <row r="48" spans="9:54" ht="15" customHeight="1" x14ac:dyDescent="0.25">
      <c r="I48" s="1" t="s">
        <v>111</v>
      </c>
      <c r="J48" s="1" t="s">
        <v>52</v>
      </c>
      <c r="AP48" s="45"/>
      <c r="AQ48" s="45"/>
      <c r="AR48" s="45"/>
      <c r="AS48" s="45"/>
      <c r="AT48" s="44"/>
      <c r="AU48" s="43"/>
    </row>
    <row r="49" spans="9:47" ht="15" customHeight="1" x14ac:dyDescent="0.25">
      <c r="I49" s="1" t="s">
        <v>112</v>
      </c>
      <c r="J49" s="1" t="s">
        <v>50</v>
      </c>
      <c r="AP49" s="33">
        <v>0</v>
      </c>
      <c r="AQ49" s="34">
        <v>0</v>
      </c>
      <c r="AR49" s="33">
        <v>0</v>
      </c>
      <c r="AS49" s="34">
        <f>AQ49*AR49</f>
        <v>0</v>
      </c>
      <c r="AT49" s="35" t="e">
        <v>#DIV/0!</v>
      </c>
      <c r="AU49" s="33" t="e">
        <f>AT49*AS49</f>
        <v>#DIV/0!</v>
      </c>
    </row>
    <row r="50" spans="9:47" x14ac:dyDescent="0.25">
      <c r="I50" s="1" t="s">
        <v>113</v>
      </c>
      <c r="J50" s="1" t="s">
        <v>55</v>
      </c>
    </row>
    <row r="51" spans="9:47" x14ac:dyDescent="0.25">
      <c r="I51" s="1" t="s">
        <v>114</v>
      </c>
      <c r="J51" s="1" t="s">
        <v>52</v>
      </c>
    </row>
    <row r="52" spans="9:47" x14ac:dyDescent="0.25">
      <c r="I52" s="1" t="s">
        <v>115</v>
      </c>
      <c r="J52" s="1" t="s">
        <v>58</v>
      </c>
    </row>
    <row r="53" spans="9:47" x14ac:dyDescent="0.25">
      <c r="I53" s="1" t="s">
        <v>116</v>
      </c>
      <c r="J53" s="1" t="s">
        <v>58</v>
      </c>
    </row>
    <row r="54" spans="9:47" x14ac:dyDescent="0.25">
      <c r="I54" s="1" t="s">
        <v>117</v>
      </c>
      <c r="J54" s="1" t="s">
        <v>50</v>
      </c>
    </row>
    <row r="55" spans="9:47" x14ac:dyDescent="0.25">
      <c r="I55" s="1" t="s">
        <v>118</v>
      </c>
      <c r="J55" s="1" t="s">
        <v>55</v>
      </c>
    </row>
    <row r="56" spans="9:47" x14ac:dyDescent="0.25">
      <c r="I56" s="1" t="s">
        <v>119</v>
      </c>
      <c r="J56" s="1" t="s">
        <v>55</v>
      </c>
    </row>
    <row r="57" spans="9:47" x14ac:dyDescent="0.25">
      <c r="I57" s="1" t="s">
        <v>120</v>
      </c>
      <c r="J57" s="1" t="s">
        <v>2</v>
      </c>
    </row>
    <row r="58" spans="9:47" x14ac:dyDescent="0.25">
      <c r="I58" s="1" t="s">
        <v>121</v>
      </c>
      <c r="J58" s="1" t="s">
        <v>52</v>
      </c>
    </row>
    <row r="59" spans="9:47" x14ac:dyDescent="0.25">
      <c r="I59" s="1" t="s">
        <v>122</v>
      </c>
      <c r="J59" s="1" t="s">
        <v>48</v>
      </c>
    </row>
    <row r="60" spans="9:47" x14ac:dyDescent="0.25">
      <c r="I60" s="1" t="s">
        <v>123</v>
      </c>
      <c r="J60" s="1" t="s">
        <v>48</v>
      </c>
    </row>
    <row r="61" spans="9:47" x14ac:dyDescent="0.25">
      <c r="I61" s="1" t="s">
        <v>124</v>
      </c>
      <c r="J61" s="1" t="s">
        <v>48</v>
      </c>
    </row>
    <row r="62" spans="9:47" x14ac:dyDescent="0.25">
      <c r="I62" s="1" t="s">
        <v>125</v>
      </c>
      <c r="J62" s="1" t="s">
        <v>55</v>
      </c>
    </row>
    <row r="63" spans="9:47" x14ac:dyDescent="0.25">
      <c r="I63" s="1" t="s">
        <v>126</v>
      </c>
      <c r="J63" s="1" t="s">
        <v>52</v>
      </c>
    </row>
    <row r="64" spans="9:47" x14ac:dyDescent="0.25">
      <c r="I64" s="1" t="s">
        <v>127</v>
      </c>
      <c r="J64" s="1" t="s">
        <v>58</v>
      </c>
    </row>
    <row r="65" spans="9:10" x14ac:dyDescent="0.25">
      <c r="I65" s="1" t="s">
        <v>128</v>
      </c>
      <c r="J65" s="1" t="s">
        <v>46</v>
      </c>
    </row>
    <row r="66" spans="9:10" x14ac:dyDescent="0.25">
      <c r="I66" s="1" t="s">
        <v>129</v>
      </c>
      <c r="J66" s="1" t="s">
        <v>50</v>
      </c>
    </row>
    <row r="67" spans="9:10" x14ac:dyDescent="0.25">
      <c r="I67" s="1" t="s">
        <v>130</v>
      </c>
      <c r="J67" s="1" t="s">
        <v>50</v>
      </c>
    </row>
    <row r="68" spans="9:10" x14ac:dyDescent="0.25">
      <c r="I68" s="1" t="s">
        <v>131</v>
      </c>
      <c r="J68" s="1" t="s">
        <v>52</v>
      </c>
    </row>
    <row r="69" spans="9:10" x14ac:dyDescent="0.25">
      <c r="I69" s="1" t="s">
        <v>132</v>
      </c>
      <c r="J69" s="1" t="s">
        <v>2</v>
      </c>
    </row>
    <row r="70" spans="9:10" x14ac:dyDescent="0.25">
      <c r="I70" s="1" t="s">
        <v>133</v>
      </c>
      <c r="J70" s="1" t="s">
        <v>2</v>
      </c>
    </row>
    <row r="71" spans="9:10" x14ac:dyDescent="0.25">
      <c r="I71" s="1" t="s">
        <v>134</v>
      </c>
      <c r="J71" s="1" t="s">
        <v>2</v>
      </c>
    </row>
    <row r="72" spans="9:10" x14ac:dyDescent="0.25">
      <c r="I72" s="1" t="s">
        <v>135</v>
      </c>
      <c r="J72" s="1" t="s">
        <v>50</v>
      </c>
    </row>
    <row r="73" spans="9:10" x14ac:dyDescent="0.25">
      <c r="I73" s="1" t="s">
        <v>136</v>
      </c>
      <c r="J73" s="1" t="s">
        <v>55</v>
      </c>
    </row>
    <row r="74" spans="9:10" x14ac:dyDescent="0.25">
      <c r="I74" s="1" t="s">
        <v>137</v>
      </c>
      <c r="J74" s="1" t="s">
        <v>50</v>
      </c>
    </row>
    <row r="75" spans="9:10" x14ac:dyDescent="0.25">
      <c r="I75" s="1" t="s">
        <v>138</v>
      </c>
      <c r="J75" s="1" t="s">
        <v>50</v>
      </c>
    </row>
    <row r="76" spans="9:10" x14ac:dyDescent="0.25">
      <c r="I76" s="1" t="s">
        <v>139</v>
      </c>
      <c r="J76" s="1" t="s">
        <v>52</v>
      </c>
    </row>
    <row r="77" spans="9:10" x14ac:dyDescent="0.25">
      <c r="I77" s="1" t="s">
        <v>140</v>
      </c>
      <c r="J77" s="1" t="s">
        <v>2</v>
      </c>
    </row>
    <row r="78" spans="9:10" x14ac:dyDescent="0.25">
      <c r="I78" s="1" t="s">
        <v>141</v>
      </c>
      <c r="J78" s="1" t="s">
        <v>58</v>
      </c>
    </row>
    <row r="79" spans="9:10" x14ac:dyDescent="0.25">
      <c r="I79" s="1" t="s">
        <v>142</v>
      </c>
      <c r="J79" s="1" t="s">
        <v>50</v>
      </c>
    </row>
    <row r="80" spans="9:10" x14ac:dyDescent="0.25">
      <c r="I80" s="1" t="s">
        <v>143</v>
      </c>
      <c r="J80" s="1" t="s">
        <v>58</v>
      </c>
    </row>
    <row r="81" spans="9:10" x14ac:dyDescent="0.25">
      <c r="I81" s="1" t="s">
        <v>144</v>
      </c>
      <c r="J81" s="1" t="s">
        <v>46</v>
      </c>
    </row>
    <row r="82" spans="9:10" x14ac:dyDescent="0.25">
      <c r="I82" s="1" t="s">
        <v>145</v>
      </c>
      <c r="J82" s="1" t="s">
        <v>2</v>
      </c>
    </row>
    <row r="83" spans="9:10" x14ac:dyDescent="0.25">
      <c r="I83" s="1" t="s">
        <v>146</v>
      </c>
      <c r="J83" s="1" t="s">
        <v>50</v>
      </c>
    </row>
    <row r="84" spans="9:10" x14ac:dyDescent="0.25">
      <c r="I84" s="1" t="s">
        <v>147</v>
      </c>
      <c r="J84" s="1" t="s">
        <v>58</v>
      </c>
    </row>
    <row r="85" spans="9:10" x14ac:dyDescent="0.25">
      <c r="I85" s="1" t="s">
        <v>148</v>
      </c>
      <c r="J85" s="1" t="s">
        <v>46</v>
      </c>
    </row>
    <row r="86" spans="9:10" x14ac:dyDescent="0.25">
      <c r="I86" s="1" t="s">
        <v>149</v>
      </c>
      <c r="J86" s="1" t="s">
        <v>48</v>
      </c>
    </row>
    <row r="87" spans="9:10" x14ac:dyDescent="0.25">
      <c r="I87" s="1" t="s">
        <v>150</v>
      </c>
      <c r="J87" s="1" t="s">
        <v>50</v>
      </c>
    </row>
    <row r="88" spans="9:10" x14ac:dyDescent="0.25">
      <c r="I88" s="1" t="s">
        <v>151</v>
      </c>
      <c r="J88" s="1" t="s">
        <v>46</v>
      </c>
    </row>
    <row r="89" spans="9:10" x14ac:dyDescent="0.25">
      <c r="I89" s="1" t="s">
        <v>152</v>
      </c>
      <c r="J89" s="1" t="s">
        <v>55</v>
      </c>
    </row>
    <row r="90" spans="9:10" x14ac:dyDescent="0.25">
      <c r="I90" s="1" t="s">
        <v>153</v>
      </c>
      <c r="J90" s="1" t="s">
        <v>50</v>
      </c>
    </row>
    <row r="91" spans="9:10" x14ac:dyDescent="0.25">
      <c r="I91" s="1" t="s">
        <v>154</v>
      </c>
      <c r="J91" s="1" t="s">
        <v>55</v>
      </c>
    </row>
    <row r="92" spans="9:10" x14ac:dyDescent="0.25">
      <c r="I92" s="1" t="s">
        <v>155</v>
      </c>
      <c r="J92" s="1" t="s">
        <v>55</v>
      </c>
    </row>
    <row r="93" spans="9:10" x14ac:dyDescent="0.25">
      <c r="I93" s="1" t="s">
        <v>156</v>
      </c>
      <c r="J93" s="1" t="s">
        <v>50</v>
      </c>
    </row>
    <row r="94" spans="9:10" x14ac:dyDescent="0.25">
      <c r="I94" s="1" t="s">
        <v>157</v>
      </c>
      <c r="J94" s="1" t="s">
        <v>55</v>
      </c>
    </row>
    <row r="95" spans="9:10" x14ac:dyDescent="0.25">
      <c r="I95" s="1" t="s">
        <v>158</v>
      </c>
      <c r="J95" s="1" t="s">
        <v>2</v>
      </c>
    </row>
    <row r="96" spans="9:10" x14ac:dyDescent="0.25">
      <c r="I96" s="1" t="s">
        <v>159</v>
      </c>
      <c r="J96" s="1" t="s">
        <v>55</v>
      </c>
    </row>
    <row r="97" spans="9:10" x14ac:dyDescent="0.25">
      <c r="I97" s="1" t="s">
        <v>160</v>
      </c>
      <c r="J97" s="1" t="s">
        <v>55</v>
      </c>
    </row>
    <row r="98" spans="9:10" x14ac:dyDescent="0.25">
      <c r="I98" s="1" t="s">
        <v>161</v>
      </c>
      <c r="J98" s="1" t="s">
        <v>52</v>
      </c>
    </row>
    <row r="99" spans="9:10" x14ac:dyDescent="0.25">
      <c r="I99" s="1" t="s">
        <v>162</v>
      </c>
      <c r="J99" s="1" t="s">
        <v>46</v>
      </c>
    </row>
    <row r="100" spans="9:10" x14ac:dyDescent="0.25">
      <c r="I100" s="1" t="s">
        <v>163</v>
      </c>
      <c r="J100" s="1" t="s">
        <v>48</v>
      </c>
    </row>
    <row r="101" spans="9:10" x14ac:dyDescent="0.25">
      <c r="I101" s="1" t="s">
        <v>164</v>
      </c>
      <c r="J101" s="1" t="s">
        <v>52</v>
      </c>
    </row>
    <row r="102" spans="9:10" x14ac:dyDescent="0.25">
      <c r="I102" s="1" t="s">
        <v>165</v>
      </c>
      <c r="J102" s="1" t="s">
        <v>2</v>
      </c>
    </row>
    <row r="103" spans="9:10" x14ac:dyDescent="0.25">
      <c r="I103" s="1" t="s">
        <v>166</v>
      </c>
      <c r="J103" s="1" t="s">
        <v>55</v>
      </c>
    </row>
    <row r="104" spans="9:10" x14ac:dyDescent="0.25">
      <c r="I104" s="1" t="s">
        <v>167</v>
      </c>
      <c r="J104" s="1" t="s">
        <v>55</v>
      </c>
    </row>
    <row r="105" spans="9:10" x14ac:dyDescent="0.25">
      <c r="I105" s="1" t="s">
        <v>168</v>
      </c>
      <c r="J105" s="1" t="s">
        <v>46</v>
      </c>
    </row>
    <row r="106" spans="9:10" x14ac:dyDescent="0.25">
      <c r="I106" s="1" t="s">
        <v>169</v>
      </c>
      <c r="J106" s="1" t="s">
        <v>52</v>
      </c>
    </row>
    <row r="107" spans="9:10" x14ac:dyDescent="0.25">
      <c r="I107" s="1" t="s">
        <v>170</v>
      </c>
      <c r="J107" s="1" t="s">
        <v>46</v>
      </c>
    </row>
    <row r="108" spans="9:10" x14ac:dyDescent="0.25">
      <c r="I108" s="1" t="s">
        <v>171</v>
      </c>
      <c r="J108" s="1" t="s">
        <v>55</v>
      </c>
    </row>
    <row r="109" spans="9:10" x14ac:dyDescent="0.25">
      <c r="I109" s="1" t="s">
        <v>172</v>
      </c>
      <c r="J109" s="1" t="s">
        <v>52</v>
      </c>
    </row>
    <row r="110" spans="9:10" x14ac:dyDescent="0.25">
      <c r="I110" s="1" t="s">
        <v>173</v>
      </c>
      <c r="J110" s="1" t="s">
        <v>48</v>
      </c>
    </row>
    <row r="111" spans="9:10" x14ac:dyDescent="0.25">
      <c r="I111" s="1" t="s">
        <v>174</v>
      </c>
      <c r="J111" s="1" t="s">
        <v>55</v>
      </c>
    </row>
    <row r="112" spans="9:10" x14ac:dyDescent="0.25">
      <c r="I112" s="1" t="s">
        <v>175</v>
      </c>
      <c r="J112" s="1" t="s">
        <v>2</v>
      </c>
    </row>
    <row r="113" spans="9:10" x14ac:dyDescent="0.25">
      <c r="I113" s="1" t="s">
        <v>176</v>
      </c>
      <c r="J113" s="1" t="s">
        <v>52</v>
      </c>
    </row>
    <row r="114" spans="9:10" x14ac:dyDescent="0.25">
      <c r="I114" s="1" t="s">
        <v>177</v>
      </c>
      <c r="J114" s="1" t="s">
        <v>58</v>
      </c>
    </row>
    <row r="115" spans="9:10" x14ac:dyDescent="0.25">
      <c r="I115" s="1" t="s">
        <v>178</v>
      </c>
      <c r="J115" s="1" t="s">
        <v>46</v>
      </c>
    </row>
    <row r="116" spans="9:10" x14ac:dyDescent="0.25">
      <c r="I116" s="1" t="s">
        <v>179</v>
      </c>
      <c r="J116" s="1" t="s">
        <v>58</v>
      </c>
    </row>
    <row r="117" spans="9:10" x14ac:dyDescent="0.25">
      <c r="I117" s="1" t="s">
        <v>180</v>
      </c>
      <c r="J117" s="1" t="s">
        <v>46</v>
      </c>
    </row>
    <row r="118" spans="9:10" x14ac:dyDescent="0.25">
      <c r="I118" s="1" t="s">
        <v>181</v>
      </c>
      <c r="J118" s="1" t="s">
        <v>2</v>
      </c>
    </row>
    <row r="119" spans="9:10" x14ac:dyDescent="0.25">
      <c r="I119" s="1" t="s">
        <v>182</v>
      </c>
      <c r="J119" s="1" t="s">
        <v>55</v>
      </c>
    </row>
    <row r="120" spans="9:10" x14ac:dyDescent="0.25">
      <c r="I120" s="1" t="s">
        <v>183</v>
      </c>
      <c r="J120" s="1" t="s">
        <v>2</v>
      </c>
    </row>
    <row r="121" spans="9:10" x14ac:dyDescent="0.25">
      <c r="I121" s="1" t="s">
        <v>184</v>
      </c>
      <c r="J121" s="1" t="s">
        <v>46</v>
      </c>
    </row>
    <row r="122" spans="9:10" x14ac:dyDescent="0.25">
      <c r="I122" s="1" t="s">
        <v>185</v>
      </c>
      <c r="J122" s="1" t="s">
        <v>55</v>
      </c>
    </row>
    <row r="123" spans="9:10" x14ac:dyDescent="0.25">
      <c r="I123" s="1" t="s">
        <v>186</v>
      </c>
      <c r="J123" s="1" t="s">
        <v>58</v>
      </c>
    </row>
    <row r="124" spans="9:10" x14ac:dyDescent="0.25">
      <c r="I124" s="1" t="s">
        <v>187</v>
      </c>
      <c r="J124" s="1" t="s">
        <v>46</v>
      </c>
    </row>
    <row r="125" spans="9:10" x14ac:dyDescent="0.25">
      <c r="I125" s="1" t="s">
        <v>188</v>
      </c>
      <c r="J125" s="1" t="s">
        <v>52</v>
      </c>
    </row>
    <row r="126" spans="9:10" x14ac:dyDescent="0.25">
      <c r="I126" s="1" t="s">
        <v>189</v>
      </c>
      <c r="J126" s="1" t="s">
        <v>55</v>
      </c>
    </row>
    <row r="127" spans="9:10" x14ac:dyDescent="0.25">
      <c r="I127" s="1" t="s">
        <v>190</v>
      </c>
      <c r="J127" s="1" t="s">
        <v>52</v>
      </c>
    </row>
    <row r="128" spans="9:10" x14ac:dyDescent="0.25">
      <c r="I128" s="1" t="s">
        <v>191</v>
      </c>
      <c r="J128" s="1" t="s">
        <v>46</v>
      </c>
    </row>
    <row r="129" spans="9:10" x14ac:dyDescent="0.25">
      <c r="I129" s="1" t="s">
        <v>192</v>
      </c>
      <c r="J129" s="1" t="s">
        <v>58</v>
      </c>
    </row>
    <row r="130" spans="9:10" x14ac:dyDescent="0.25">
      <c r="I130" s="1" t="s">
        <v>193</v>
      </c>
      <c r="J130" s="1" t="s">
        <v>58</v>
      </c>
    </row>
    <row r="131" spans="9:10" x14ac:dyDescent="0.25">
      <c r="I131" s="1" t="s">
        <v>194</v>
      </c>
      <c r="J131" s="1" t="s">
        <v>48</v>
      </c>
    </row>
    <row r="132" spans="9:10" x14ac:dyDescent="0.25">
      <c r="I132" s="1" t="s">
        <v>195</v>
      </c>
      <c r="J132" s="1" t="s">
        <v>2</v>
      </c>
    </row>
    <row r="133" spans="9:10" x14ac:dyDescent="0.25">
      <c r="I133" s="1" t="s">
        <v>196</v>
      </c>
      <c r="J133" s="1" t="s">
        <v>58</v>
      </c>
    </row>
    <row r="134" spans="9:10" x14ac:dyDescent="0.25">
      <c r="I134" s="1" t="s">
        <v>197</v>
      </c>
      <c r="J134" s="1" t="s">
        <v>50</v>
      </c>
    </row>
    <row r="135" spans="9:10" x14ac:dyDescent="0.25">
      <c r="I135" s="1" t="s">
        <v>198</v>
      </c>
      <c r="J135" s="1" t="s">
        <v>55</v>
      </c>
    </row>
    <row r="136" spans="9:10" x14ac:dyDescent="0.25">
      <c r="I136" s="1" t="s">
        <v>199</v>
      </c>
      <c r="J136" s="1" t="s">
        <v>55</v>
      </c>
    </row>
    <row r="137" spans="9:10" x14ac:dyDescent="0.25">
      <c r="I137" s="1" t="s">
        <v>200</v>
      </c>
      <c r="J137" s="1" t="s">
        <v>58</v>
      </c>
    </row>
    <row r="138" spans="9:10" x14ac:dyDescent="0.25">
      <c r="I138" s="1" t="s">
        <v>201</v>
      </c>
      <c r="J138" s="1" t="s">
        <v>52</v>
      </c>
    </row>
    <row r="139" spans="9:10" x14ac:dyDescent="0.25">
      <c r="I139" s="1" t="s">
        <v>202</v>
      </c>
      <c r="J139" s="1" t="s">
        <v>2</v>
      </c>
    </row>
    <row r="140" spans="9:10" x14ac:dyDescent="0.25">
      <c r="I140" s="1" t="s">
        <v>203</v>
      </c>
      <c r="J140" s="1" t="s">
        <v>58</v>
      </c>
    </row>
    <row r="141" spans="9:10" x14ac:dyDescent="0.25">
      <c r="I141" s="1" t="s">
        <v>204</v>
      </c>
      <c r="J141" s="1" t="s">
        <v>52</v>
      </c>
    </row>
    <row r="142" spans="9:10" x14ac:dyDescent="0.25">
      <c r="I142" s="2" t="s">
        <v>205</v>
      </c>
      <c r="J142" s="2" t="s">
        <v>46</v>
      </c>
    </row>
  </sheetData>
  <conditionalFormatting sqref="I35 I28 I32">
    <cfRule type="iconSet" priority="13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6 I30 I14:I15 I28 I8:I10 I17:I21">
    <cfRule type="iconSet" priority="1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8 I14:I15 I8:I10">
    <cfRule type="iconSet" priority="12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3:I24 I38:I39">
    <cfRule type="iconSet" priority="1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38:I39 I31 I26 I35">
    <cfRule type="iconSet" priority="1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33 I17:I21 I23:I24 I31 I29">
    <cfRule type="iconSet" priority="1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31 I17:I21">
    <cfRule type="iconSet" priority="1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6:I48 I27 I22 I13">
    <cfRule type="iconSet" priority="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9:I63 I55 I11:I12 I49:I51 I38:I39">
    <cfRule type="iconSet" priority="12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5:I136 I36 I13 I16 I26 I43:I45 I28 I30 I32 I34 I55 I78:I127 I8:I10 I22:I24 I38:I39 I49:I51 I57:I75 I129:I133 I138:I140 I2:I6">
    <cfRule type="iconSet" priority="1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3:I45">
    <cfRule type="iconSet" priority="12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33">
    <cfRule type="iconSet" priority="1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">
    <cfRule type="iconSet" priority="11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:I6">
    <cfRule type="iconSet" priority="1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6">
    <cfRule type="iconSet" priority="11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:I5">
    <cfRule type="iconSet" priority="1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9:I10">
    <cfRule type="iconSet" priority="1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9">
    <cfRule type="iconSet" priority="11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5">
    <cfRule type="iconSet" priority="1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1">
    <cfRule type="iconSet" priority="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8:I20">
    <cfRule type="iconSet" priority="1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8:I19">
    <cfRule type="iconSet" priority="1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0">
    <cfRule type="iconSet" priority="10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9">
    <cfRule type="iconSet" priority="1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4">
    <cfRule type="iconSet" priority="1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39">
    <cfRule type="iconSet" priority="1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2">
    <cfRule type="iconSet" priority="10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4:I45">
    <cfRule type="iconSet" priority="1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5">
    <cfRule type="iconSet" priority="10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7:I48">
    <cfRule type="iconSet" priority="1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0:I51">
    <cfRule type="iconSet" priority="1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9:I51">
    <cfRule type="iconSet" priority="1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48">
    <cfRule type="iconSet" priority="9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1:I54">
    <cfRule type="iconSet" priority="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1:I52">
    <cfRule type="iconSet" priority="9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3:I54">
    <cfRule type="iconSet" priority="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2">
    <cfRule type="iconSet" priority="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4">
    <cfRule type="iconSet" priority="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9:I63">
    <cfRule type="iconSet" priority="9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7:I58 I63">
    <cfRule type="iconSet" priority="9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57:I63">
    <cfRule type="iconSet" priority="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63">
    <cfRule type="iconSet" priority="9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67:I71">
    <cfRule type="iconSet" priority="8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71:I73 I75">
    <cfRule type="iconSet" priority="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71:I75">
    <cfRule type="iconSet" priority="8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73:I75">
    <cfRule type="iconSet" priority="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77">
    <cfRule type="iconSet" priority="8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80:I86">
    <cfRule type="iconSet" priority="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79:I88">
    <cfRule type="iconSet" priority="8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96:I102">
    <cfRule type="iconSet" priority="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06:I110">
    <cfRule type="iconSet" priority="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06:I108">
    <cfRule type="iconSet" priority="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12">
    <cfRule type="iconSet" priority="7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17:I118">
    <cfRule type="iconSet" priority="7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2:I133">
    <cfRule type="iconSet" priority="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2">
    <cfRule type="iconSet" priority="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3">
    <cfRule type="iconSet" priority="7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6">
    <cfRule type="iconSet" priority="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9:I140">
    <cfRule type="iconSet" priority="7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39">
    <cfRule type="iconSet" priority="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20 I7 I11:I12 I14:I15 I122 I25 I27 I130 I29 I31 I124 I33 I35 I137 I37 I126 I114 I134 I128 I76:I77 I17:I21 I40:I42 I46:I54 I56:I58 I60 I62 I64:I68 I70:I74 I80:I86 I89:I93 I95:I104 I111:I112 I116:I118 I141:I142">
    <cfRule type="iconSet" priority="7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142">
    <cfRule type="iconSet" priority="7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92">
    <cfRule type="iconSet" priority="6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91:I92">
    <cfRule type="iconSet" priority="6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I2:I142">
    <cfRule type="iconSet" priority="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2:J142">
    <cfRule type="iconSet" priority="66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24F0-E743-443B-9702-070ABE63A795}">
  <dimension ref="A1:AC41"/>
  <sheetViews>
    <sheetView showGridLines="0" workbookViewId="0">
      <selection activeCell="F31" sqref="F31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dcRgqNSEeh0Mes9Q5XFCuZOSpZBwQN9N2j59keAfbePlV9aUpY5yqpaXHyoJs5DcEHxfAVIeudnJKuwUff8BEw==" saltValue="Tgwkxlld6iJZTGTZo++p0w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B8AF75-F808-4212-BEE6-0435BDF3E58C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671ED367-2A8B-4ACD-AC25-86CA15A92DB7}">
          <x14:formula1>
            <xm:f>Lista_suspensa!$A$21:$A$30</xm:f>
          </x14:formula1>
          <xm:sqref>U5:U38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493D-00ED-4775-A96A-E499FA153A20}">
  <dimension ref="A1:AC41"/>
  <sheetViews>
    <sheetView showGridLines="0" workbookViewId="0">
      <selection activeCell="R30" sqref="R30:R35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SduwzrU1E9/hEhg7uMYB1F7QlWYDudrWZ2pk1chM65dEVEFEwalWdO7LfJlaz9YxgQKIbFJs1H3ByX5peGBxng==" saltValue="WCI3xQ7zJSfkrMn8xs9Llw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EFAE19-1046-4ECA-A6FF-629791D22C5A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0258D04D-387E-4CB1-87BF-A7ED5472639F}">
          <x14:formula1>
            <xm:f>Lista_suspensa!$E$30:$E$32</xm:f>
          </x14:formula1>
          <xm:sqref>I5:I10 I14:I19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8DF9-E618-409A-A2C7-8C2A49B39FF1}">
  <dimension ref="A1:AC41"/>
  <sheetViews>
    <sheetView showGridLines="0" workbookViewId="0">
      <selection activeCell="E32" sqref="E32:E33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hG7oX60hLsqWgJax04r9RHtR/CYX+ZoNST3D4UXbcKYP5lmvVAv0PxlU6MZAsYGK8zfR/ltocGlTpgnDmS7ZPw==" saltValue="IC40B+DW41IZiaJcBlahZw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0FD774-C9C4-40E0-A8C2-04AC4425EBC6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6C49B732-FE05-4F92-A009-77858A1152F9}">
          <x14:formula1>
            <xm:f>Lista_suspensa!$A$21:$A$30</xm:f>
          </x14:formula1>
          <xm:sqref>U5:U38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572B-90B7-4748-BFD4-8A710101CF95}">
  <dimension ref="A1:AC41"/>
  <sheetViews>
    <sheetView showGridLines="0" workbookViewId="0">
      <selection activeCell="R38" sqref="R38:R39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143">
        <v>0</v>
      </c>
      <c r="K10" s="199">
        <f>IF(I10="@",J10*H10*(Cadastro!E24/15)*0.5,J10*H10)</f>
        <v>0</v>
      </c>
      <c r="L10" s="139"/>
      <c r="M10" s="143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143">
        <v>0</v>
      </c>
      <c r="K19" s="199">
        <f>IF(I19="@",J19*H19*(Cadastro!E33/15)*0.5,J19*H19)</f>
        <v>0</v>
      </c>
      <c r="L19" s="142"/>
      <c r="M19" s="143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143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143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/GOGh1m0sO3olnyWjFKRcGKa3u3zFiyikuOoeavXkSZT8DTJfbE5XT/7y49vCaWSF8iGqvTAlcckrq3xzAIDkg==" saltValue="/k9rN30DUqeVdOtL0AivYA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E3E568-9F71-42B2-B956-CD1A2B7F11D8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63ACBC6B-826C-4E35-86D9-CF061EBD0D68}">
          <x14:formula1>
            <xm:f>Lista_suspensa!$E$30:$E$32</xm:f>
          </x14:formula1>
          <xm:sqref>I5:I10 I14:I19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DB83-0A11-42E6-81B0-BCDBDD2FDC52}">
  <dimension ref="A1:AC41"/>
  <sheetViews>
    <sheetView showGridLines="0" workbookViewId="0">
      <selection activeCell="E29" sqref="E29:E33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nWStcAew6zVBDlnDc1OxxRUdJ4qbweLABwgWW6/fVBH7YnQFnb8U46avjr5jbYPfcISlW2GP+VF6tUPrzlaozQ==" saltValue="EFa5PpACNLNQBBgaBfQ5rw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9377B2-17DB-430B-991F-6A6C306FC967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749CC842-C5AD-4F70-8423-93463E2C76FD}">
          <x14:formula1>
            <xm:f>Lista_suspensa!$A$21:$A$30</xm:f>
          </x14:formula1>
          <xm:sqref>U5:U38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94AB-E0E7-4CFF-A9A7-295FAF7194BC}">
  <dimension ref="A1:AC41"/>
  <sheetViews>
    <sheetView showGridLines="0" workbookViewId="0">
      <selection activeCell="L26" sqref="L26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143">
        <v>0</v>
      </c>
      <c r="K10" s="199">
        <f>IF(I10="@",J10*H10*(Cadastro!E24/15)*0.5,J10*H10)</f>
        <v>0</v>
      </c>
      <c r="L10" s="139"/>
      <c r="M10" s="143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143">
        <v>0</v>
      </c>
      <c r="K19" s="199">
        <f>IF(I19="@",J19*H19*(Cadastro!E33/15)*0.5,J19*H19)</f>
        <v>0</v>
      </c>
      <c r="L19" s="142"/>
      <c r="M19" s="143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a28eZdryFLSWVnaIT/uuguIThmZvGJSev3AFL1pRz8nDXpECJlSVbX+ReLjDsIDEQyH7FoPIPzirXRtXXQepAQ==" saltValue="/H09udnXCp0i5NNCbZr7CA==" spinCount="100000" sheet="1" selectLockedCells="1"/>
  <mergeCells count="49"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Z36:AA36"/>
    <mergeCell ref="Z37:AA37"/>
    <mergeCell ref="Q20:S20"/>
    <mergeCell ref="X19:Y24"/>
    <mergeCell ref="Z19:AA24"/>
    <mergeCell ref="Z38:AA38"/>
    <mergeCell ref="Z39:AA39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Z25:AA25"/>
    <mergeCell ref="Z26:AA26"/>
    <mergeCell ref="Z27:AA27"/>
    <mergeCell ref="Z28:AA28"/>
    <mergeCell ref="Z29:AA29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B227EDF-8490-4E78-9297-AFA049FAD926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0715AC38-A274-4CFE-86D5-DD4E7431EBF4}">
          <x14:formula1>
            <xm:f>Lista_suspensa!$E$30:$E$32</xm:f>
          </x14:formula1>
          <xm:sqref>I5:I10 I14:I19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D60C3-28CD-43FD-BB51-CEF056425A94}">
  <dimension ref="A1:AH87"/>
  <sheetViews>
    <sheetView showGridLines="0" topLeftCell="A7" zoomScale="87" zoomScaleNormal="87" workbookViewId="0">
      <selection activeCell="T32" sqref="T32:V32"/>
    </sheetView>
  </sheetViews>
  <sheetFormatPr defaultColWidth="9.140625" defaultRowHeight="15" zeroHeight="1" x14ac:dyDescent="0.25"/>
  <cols>
    <col min="1" max="1" width="1" style="49" customWidth="1"/>
    <col min="2" max="2" width="2" style="48" customWidth="1"/>
    <col min="3" max="3" width="9.140625" style="48" customWidth="1"/>
    <col min="4" max="4" width="23.85546875" style="48" customWidth="1"/>
    <col min="5" max="5" width="18.42578125" style="48" bestFit="1" customWidth="1"/>
    <col min="6" max="6" width="15.5703125" style="48" bestFit="1" customWidth="1"/>
    <col min="7" max="7" width="14.28515625" style="48" bestFit="1" customWidth="1"/>
    <col min="8" max="8" width="13.140625" style="48" bestFit="1" customWidth="1"/>
    <col min="9" max="11" width="14.28515625" style="48" bestFit="1" customWidth="1"/>
    <col min="12" max="12" width="13.140625" style="48" bestFit="1" customWidth="1"/>
    <col min="13" max="14" width="14.28515625" style="48" bestFit="1" customWidth="1"/>
    <col min="15" max="15" width="13.140625" style="48" bestFit="1" customWidth="1"/>
    <col min="16" max="16" width="14.28515625" style="48" bestFit="1" customWidth="1"/>
    <col min="17" max="17" width="1.85546875" style="117" customWidth="1"/>
    <col min="18" max="18" width="2.85546875" style="117" customWidth="1"/>
    <col min="19" max="19" width="27.5703125" style="48" customWidth="1"/>
    <col min="20" max="20" width="22.42578125" style="48" customWidth="1"/>
    <col min="21" max="21" width="4" style="48" customWidth="1"/>
    <col min="22" max="22" width="15.5703125" style="48" customWidth="1"/>
    <col min="23" max="23" width="14.28515625" style="48" customWidth="1"/>
    <col min="24" max="24" width="3.42578125" style="48" customWidth="1"/>
    <col min="25" max="25" width="9" style="48" customWidth="1"/>
    <col min="26" max="26" width="9.85546875" style="48" customWidth="1"/>
    <col min="27" max="27" width="15.5703125" style="48" bestFit="1" customWidth="1"/>
    <col min="28" max="28" width="15.7109375" style="48" customWidth="1"/>
    <col min="29" max="29" width="17.28515625" style="48" bestFit="1" customWidth="1"/>
    <col min="30" max="31" width="9.140625" style="48" customWidth="1"/>
    <col min="32" max="32" width="22" style="48" customWidth="1"/>
    <col min="33" max="33" width="2.7109375" style="48" customWidth="1"/>
    <col min="34" max="34" width="1.42578125" style="48" customWidth="1"/>
    <col min="35" max="35" width="1.28515625" style="48" customWidth="1"/>
    <col min="36" max="36" width="29" style="48" customWidth="1"/>
    <col min="37" max="37" width="12.42578125" style="48" customWidth="1"/>
    <col min="38" max="16384" width="9.140625" style="48"/>
  </cols>
  <sheetData>
    <row r="1" spans="1:34" ht="4.5" customHeight="1" thickBot="1" x14ac:dyDescent="0.3">
      <c r="A1" s="117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193"/>
      <c r="R1" s="193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</row>
    <row r="2" spans="1:34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3"/>
    </row>
    <row r="3" spans="1:34" ht="19.5" customHeight="1" x14ac:dyDescent="0.5">
      <c r="B3" s="56"/>
      <c r="C3" s="580" t="s">
        <v>407</v>
      </c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2"/>
      <c r="Q3" s="166"/>
      <c r="R3" s="580" t="s">
        <v>502</v>
      </c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2"/>
      <c r="AG3" s="59"/>
    </row>
    <row r="4" spans="1:34" ht="12" customHeight="1" thickBot="1" x14ac:dyDescent="0.55000000000000004">
      <c r="B4" s="56"/>
      <c r="C4" s="583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5"/>
      <c r="Q4" s="166"/>
      <c r="R4" s="583"/>
      <c r="S4" s="584"/>
      <c r="T4" s="584"/>
      <c r="U4" s="584"/>
      <c r="V4" s="584"/>
      <c r="W4" s="584"/>
      <c r="X4" s="584"/>
      <c r="Y4" s="584"/>
      <c r="Z4" s="584"/>
      <c r="AA4" s="584"/>
      <c r="AB4" s="584"/>
      <c r="AC4" s="584"/>
      <c r="AD4" s="584"/>
      <c r="AE4" s="584"/>
      <c r="AF4" s="585"/>
      <c r="AG4" s="59"/>
    </row>
    <row r="5" spans="1:34" ht="7.5" customHeight="1" thickBot="1" x14ac:dyDescent="0.55000000000000004">
      <c r="B5" s="56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66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59"/>
    </row>
    <row r="6" spans="1:34" ht="12.75" customHeight="1" x14ac:dyDescent="0.25">
      <c r="B6" s="56"/>
      <c r="C6" s="586" t="s">
        <v>408</v>
      </c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8"/>
      <c r="Q6" s="167"/>
      <c r="R6" s="365"/>
      <c r="S6" s="256"/>
      <c r="T6" s="366"/>
      <c r="U6" s="163"/>
      <c r="V6" s="163"/>
      <c r="W6" s="163"/>
      <c r="X6" s="163"/>
      <c r="Y6" s="163"/>
      <c r="Z6" s="163"/>
      <c r="AA6" s="163"/>
      <c r="AB6" s="163"/>
      <c r="AC6" s="163"/>
      <c r="AD6" s="165"/>
      <c r="AE6" s="163"/>
      <c r="AF6" s="163"/>
      <c r="AG6" s="59"/>
    </row>
    <row r="7" spans="1:34" ht="15.75" customHeight="1" thickBot="1" x14ac:dyDescent="0.3">
      <c r="B7" s="56"/>
      <c r="C7" s="589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1"/>
      <c r="Q7" s="167"/>
      <c r="R7" s="367"/>
      <c r="S7" s="50"/>
      <c r="T7" s="368"/>
      <c r="U7" s="163"/>
      <c r="V7" s="163"/>
      <c r="W7" s="163"/>
      <c r="X7" s="163"/>
      <c r="Y7" s="163"/>
      <c r="Z7" s="163"/>
      <c r="AA7" s="163"/>
      <c r="AB7" s="163"/>
      <c r="AC7" s="163"/>
      <c r="AD7" s="165"/>
      <c r="AE7" s="163"/>
      <c r="AF7" s="163"/>
      <c r="AG7" s="59"/>
    </row>
    <row r="8" spans="1:34" ht="15.75" customHeight="1" thickBot="1" x14ac:dyDescent="0.3">
      <c r="B8" s="56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367"/>
      <c r="S8" s="50"/>
      <c r="T8" s="368"/>
      <c r="U8" s="163"/>
      <c r="V8" s="163"/>
      <c r="W8" s="163"/>
      <c r="X8" s="258"/>
      <c r="Y8" s="258"/>
      <c r="Z8" s="258"/>
      <c r="AA8" s="258"/>
      <c r="AB8" s="258"/>
      <c r="AC8" s="163"/>
      <c r="AD8" s="163"/>
      <c r="AE8" s="163"/>
      <c r="AF8" s="163"/>
      <c r="AG8" s="59"/>
    </row>
    <row r="9" spans="1:34" ht="15.75" customHeight="1" thickBot="1" x14ac:dyDescent="0.3">
      <c r="B9" s="56"/>
      <c r="C9" s="592" t="s">
        <v>507</v>
      </c>
      <c r="D9" s="593"/>
      <c r="E9" s="313" t="s">
        <v>416</v>
      </c>
      <c r="F9" s="313" t="s">
        <v>417</v>
      </c>
      <c r="G9" s="314" t="s">
        <v>418</v>
      </c>
      <c r="H9" s="313" t="s">
        <v>419</v>
      </c>
      <c r="I9" s="314" t="s">
        <v>420</v>
      </c>
      <c r="J9" s="313" t="s">
        <v>421</v>
      </c>
      <c r="K9" s="314" t="s">
        <v>422</v>
      </c>
      <c r="L9" s="313" t="s">
        <v>423</v>
      </c>
      <c r="M9" s="314" t="s">
        <v>424</v>
      </c>
      <c r="N9" s="313" t="s">
        <v>425</v>
      </c>
      <c r="O9" s="314" t="s">
        <v>426</v>
      </c>
      <c r="P9" s="313" t="s">
        <v>427</v>
      </c>
      <c r="Q9" s="58"/>
      <c r="R9" s="186"/>
      <c r="S9" s="559" t="s">
        <v>409</v>
      </c>
      <c r="T9" s="184"/>
      <c r="U9" s="117"/>
      <c r="V9" s="117"/>
      <c r="W9" s="117"/>
      <c r="X9" s="258"/>
      <c r="Y9" s="258"/>
      <c r="Z9" s="258"/>
      <c r="AA9" s="258"/>
      <c r="AB9" s="258"/>
      <c r="AC9" s="258"/>
      <c r="AD9" s="258"/>
      <c r="AE9" s="117"/>
      <c r="AF9" s="117"/>
      <c r="AG9" s="59"/>
    </row>
    <row r="10" spans="1:34" ht="15.75" customHeight="1" thickBot="1" x14ac:dyDescent="0.3">
      <c r="B10" s="56"/>
      <c r="C10" s="578" t="s">
        <v>211</v>
      </c>
      <c r="D10" s="594"/>
      <c r="E10" s="253">
        <f>Janeiro!$S$5</f>
        <v>200</v>
      </c>
      <c r="F10" s="253">
        <f>Fevereiro!$S$5</f>
        <v>0</v>
      </c>
      <c r="G10" s="182">
        <f>Março!$S$5</f>
        <v>0</v>
      </c>
      <c r="H10" s="253">
        <f>Abril!$S$5</f>
        <v>0</v>
      </c>
      <c r="I10" s="182">
        <f>Maio!$S$5</f>
        <v>0</v>
      </c>
      <c r="J10" s="253">
        <f>Junho!$S$5</f>
        <v>0</v>
      </c>
      <c r="K10" s="182">
        <f>Julho!$S$5</f>
        <v>0</v>
      </c>
      <c r="L10" s="253">
        <f>Agosto!$S$5</f>
        <v>0</v>
      </c>
      <c r="M10" s="182">
        <f>Setembro!$S$5</f>
        <v>0</v>
      </c>
      <c r="N10" s="253">
        <f>Outubro!$S$5</f>
        <v>0</v>
      </c>
      <c r="O10" s="182">
        <f>Novembro!$S$5</f>
        <v>0</v>
      </c>
      <c r="P10" s="253">
        <f>Dezembro!$S$5</f>
        <v>0</v>
      </c>
      <c r="Q10" s="58"/>
      <c r="R10" s="186"/>
      <c r="S10" s="560"/>
      <c r="T10" s="184"/>
      <c r="U10" s="117"/>
      <c r="V10" s="117"/>
      <c r="W10" s="117"/>
      <c r="X10" s="258"/>
      <c r="Y10" s="258"/>
      <c r="Z10" s="258"/>
      <c r="AA10" s="258"/>
      <c r="AB10" s="258"/>
      <c r="AC10" s="258"/>
      <c r="AD10" s="258"/>
      <c r="AE10" s="117"/>
      <c r="AF10" s="117"/>
      <c r="AG10" s="59"/>
    </row>
    <row r="11" spans="1:34" x14ac:dyDescent="0.25">
      <c r="B11" s="56"/>
      <c r="C11" s="578" t="s">
        <v>212</v>
      </c>
      <c r="D11" s="594"/>
      <c r="E11" s="154">
        <f>Janeiro!$S$6</f>
        <v>1500</v>
      </c>
      <c r="F11" s="154">
        <f>Fevereiro!$S$6</f>
        <v>0</v>
      </c>
      <c r="G11" s="160">
        <f>Março!$S$6</f>
        <v>0</v>
      </c>
      <c r="H11" s="154">
        <f>Abril!$S$6</f>
        <v>0</v>
      </c>
      <c r="I11" s="160">
        <f>Maio!$S$6</f>
        <v>0</v>
      </c>
      <c r="J11" s="154">
        <f>Junho!$S$6</f>
        <v>0</v>
      </c>
      <c r="K11" s="160">
        <f>Julho!$S$6</f>
        <v>0</v>
      </c>
      <c r="L11" s="154">
        <f>Agosto!$S$6</f>
        <v>0</v>
      </c>
      <c r="M11" s="160">
        <f>Setembro!$S$6</f>
        <v>0</v>
      </c>
      <c r="N11" s="154">
        <f>Outubro!$S$6</f>
        <v>0</v>
      </c>
      <c r="O11" s="160">
        <f>Novembro!$S$6</f>
        <v>0</v>
      </c>
      <c r="P11" s="154">
        <f>Dezembro!$S$6</f>
        <v>0</v>
      </c>
      <c r="Q11" s="58"/>
      <c r="R11" s="186"/>
      <c r="S11" s="561">
        <f>SUM(Z12:Z23)</f>
        <v>48800</v>
      </c>
      <c r="T11" s="184"/>
      <c r="U11" s="117"/>
      <c r="V11" s="117"/>
      <c r="W11" s="117"/>
      <c r="X11" s="258"/>
      <c r="Y11" s="257" t="s">
        <v>429</v>
      </c>
      <c r="Z11" s="259" t="s">
        <v>409</v>
      </c>
      <c r="AA11" s="257" t="s">
        <v>415</v>
      </c>
      <c r="AB11" s="257" t="s">
        <v>428</v>
      </c>
      <c r="AC11" s="381"/>
      <c r="AD11" s="258"/>
      <c r="AE11" s="117"/>
      <c r="AF11" s="117"/>
      <c r="AG11" s="59"/>
    </row>
    <row r="12" spans="1:34" ht="15" customHeight="1" thickBot="1" x14ac:dyDescent="0.3">
      <c r="B12" s="56"/>
      <c r="C12" s="578" t="s">
        <v>9</v>
      </c>
      <c r="D12" s="594"/>
      <c r="E12" s="154">
        <f>Janeiro!$S$7</f>
        <v>500</v>
      </c>
      <c r="F12" s="154">
        <f>Fevereiro!$S$7</f>
        <v>0</v>
      </c>
      <c r="G12" s="160">
        <f>Março!$S$7</f>
        <v>0</v>
      </c>
      <c r="H12" s="154">
        <f>Abril!$S$7</f>
        <v>0</v>
      </c>
      <c r="I12" s="160">
        <f>Maio!$S$7</f>
        <v>0</v>
      </c>
      <c r="J12" s="154">
        <f>Junho!$S$7</f>
        <v>0</v>
      </c>
      <c r="K12" s="160">
        <f>Julho!$S$7</f>
        <v>0</v>
      </c>
      <c r="L12" s="154">
        <f>Agosto!$S$7</f>
        <v>0</v>
      </c>
      <c r="M12" s="160">
        <f>Setembro!$S$7</f>
        <v>0</v>
      </c>
      <c r="N12" s="154">
        <f>Outubro!$S$7</f>
        <v>0</v>
      </c>
      <c r="O12" s="160">
        <f>Novembro!$S$7</f>
        <v>0</v>
      </c>
      <c r="P12" s="154">
        <f>Dezembro!$S$7</f>
        <v>0</v>
      </c>
      <c r="Q12" s="58"/>
      <c r="R12" s="186"/>
      <c r="S12" s="562"/>
      <c r="T12" s="184"/>
      <c r="U12" s="117"/>
      <c r="V12" s="117"/>
      <c r="W12" s="117"/>
      <c r="X12" s="258"/>
      <c r="Y12" s="260" t="s">
        <v>416</v>
      </c>
      <c r="Z12" s="261">
        <f>(Janeiro!F34+SUM(Janeiro!$K$5:$K$10,Janeiro!$K$14:$K$19,Janeiro!$K$23:$K$25))</f>
        <v>48800</v>
      </c>
      <c r="AA12" s="262">
        <f>E25</f>
        <v>-5181</v>
      </c>
      <c r="AB12" s="262">
        <f>Z12+AA12</f>
        <v>43619</v>
      </c>
      <c r="AC12" s="381"/>
      <c r="AD12" s="258"/>
      <c r="AE12" s="117"/>
      <c r="AF12" s="117"/>
      <c r="AG12" s="59"/>
    </row>
    <row r="13" spans="1:34" ht="15.75" customHeight="1" thickBot="1" x14ac:dyDescent="0.3">
      <c r="B13" s="56"/>
      <c r="C13" s="578" t="s">
        <v>26</v>
      </c>
      <c r="D13" s="594"/>
      <c r="E13" s="154">
        <f>Janeiro!$S$8</f>
        <v>500</v>
      </c>
      <c r="F13" s="154">
        <f>Fevereiro!$S$8</f>
        <v>0</v>
      </c>
      <c r="G13" s="160">
        <f>Março!$S$8</f>
        <v>0</v>
      </c>
      <c r="H13" s="154">
        <f>Abril!$S$8</f>
        <v>0</v>
      </c>
      <c r="I13" s="160">
        <f>Maio!$S$8</f>
        <v>0</v>
      </c>
      <c r="J13" s="154">
        <f>Junho!$S$8</f>
        <v>0</v>
      </c>
      <c r="K13" s="160">
        <f>Julho!$S$8</f>
        <v>0</v>
      </c>
      <c r="L13" s="154">
        <f>Agosto!$S$8</f>
        <v>0</v>
      </c>
      <c r="M13" s="160">
        <f>Setembro!$S$8</f>
        <v>0</v>
      </c>
      <c r="N13" s="154">
        <f>Outubro!$S$8</f>
        <v>0</v>
      </c>
      <c r="O13" s="160">
        <f>Novembro!$S$8</f>
        <v>0</v>
      </c>
      <c r="P13" s="154">
        <f>Dezembro!$S$8</f>
        <v>0</v>
      </c>
      <c r="Q13" s="58"/>
      <c r="R13" s="186"/>
      <c r="S13" s="117"/>
      <c r="T13" s="184"/>
      <c r="U13" s="117"/>
      <c r="V13" s="117"/>
      <c r="W13" s="117"/>
      <c r="X13" s="258"/>
      <c r="Y13" s="260" t="s">
        <v>417</v>
      </c>
      <c r="Z13" s="261">
        <f>(Fevereiro!F34)+SUM(Fevereiro!$K$5:$K$10,Fevereiro!$K$14:$K$19,Fevereiro!$K$23:$K$25)</f>
        <v>0</v>
      </c>
      <c r="AA13" s="262">
        <f>F25</f>
        <v>0</v>
      </c>
      <c r="AB13" s="262">
        <f>Z13+AA13+AB12</f>
        <v>43619</v>
      </c>
      <c r="AC13" s="381"/>
      <c r="AD13" s="258"/>
      <c r="AE13" s="117"/>
      <c r="AF13" s="117"/>
      <c r="AG13" s="59"/>
    </row>
    <row r="14" spans="1:34" ht="15" customHeight="1" x14ac:dyDescent="0.25">
      <c r="B14" s="56"/>
      <c r="C14" s="578" t="s">
        <v>213</v>
      </c>
      <c r="D14" s="594"/>
      <c r="E14" s="154">
        <f>Janeiro!$S$18</f>
        <v>0</v>
      </c>
      <c r="F14" s="154">
        <f>Fevereiro!$S$18</f>
        <v>0</v>
      </c>
      <c r="G14" s="160">
        <f>Março!$S$18</f>
        <v>0</v>
      </c>
      <c r="H14" s="154">
        <f>Abril!$S$18</f>
        <v>0</v>
      </c>
      <c r="I14" s="160">
        <f>Maio!$S$18</f>
        <v>0</v>
      </c>
      <c r="J14" s="154">
        <f>Junho!$S$18</f>
        <v>0</v>
      </c>
      <c r="K14" s="160">
        <f>Julho!$S$18</f>
        <v>0</v>
      </c>
      <c r="L14" s="154">
        <f>Agosto!$S$18</f>
        <v>0</v>
      </c>
      <c r="M14" s="160">
        <f>Setembro!$S$18</f>
        <v>0</v>
      </c>
      <c r="N14" s="154">
        <f>Outubro!$S$18</f>
        <v>0</v>
      </c>
      <c r="O14" s="160">
        <f>Novembro!$S$18</f>
        <v>0</v>
      </c>
      <c r="P14" s="154">
        <f>Dezembro!$S$18</f>
        <v>0</v>
      </c>
      <c r="Q14" s="58"/>
      <c r="R14" s="186"/>
      <c r="S14" s="559" t="s">
        <v>415</v>
      </c>
      <c r="T14" s="184"/>
      <c r="U14" s="117"/>
      <c r="V14" s="117"/>
      <c r="W14" s="117"/>
      <c r="X14" s="258"/>
      <c r="Y14" s="260" t="s">
        <v>418</v>
      </c>
      <c r="Z14" s="261">
        <f>(Março!F34)+SUM(Março!$K$5:$K$10,Março!$K$14:$K$19,Março!$K$23:$K$25)</f>
        <v>0</v>
      </c>
      <c r="AA14" s="262">
        <f>G25</f>
        <v>0</v>
      </c>
      <c r="AB14" s="262">
        <f t="shared" ref="AB14:AB22" si="0">Z14+AA14+AB13</f>
        <v>43619</v>
      </c>
      <c r="AC14" s="381"/>
      <c r="AD14" s="258"/>
      <c r="AE14" s="117"/>
      <c r="AF14" s="117"/>
      <c r="AG14" s="59"/>
    </row>
    <row r="15" spans="1:34" ht="15.75" customHeight="1" thickBot="1" x14ac:dyDescent="0.3">
      <c r="B15" s="56"/>
      <c r="C15" s="578" t="s">
        <v>214</v>
      </c>
      <c r="D15" s="594"/>
      <c r="E15" s="154">
        <f>Janeiro!$S$9</f>
        <v>10</v>
      </c>
      <c r="F15" s="154">
        <f>Fevereiro!$S$9</f>
        <v>0</v>
      </c>
      <c r="G15" s="160">
        <f>Março!$S$9</f>
        <v>0</v>
      </c>
      <c r="H15" s="154">
        <f>Abril!$S$9</f>
        <v>0</v>
      </c>
      <c r="I15" s="160">
        <f>Maio!$S$9</f>
        <v>0</v>
      </c>
      <c r="J15" s="154">
        <f>Junho!$S$9</f>
        <v>0</v>
      </c>
      <c r="K15" s="160">
        <f>Julho!$S$9</f>
        <v>0</v>
      </c>
      <c r="L15" s="154">
        <f>Agosto!$S$9</f>
        <v>0</v>
      </c>
      <c r="M15" s="160">
        <f>Setembro!$S$9</f>
        <v>0</v>
      </c>
      <c r="N15" s="154">
        <f>Outubro!$S$9</f>
        <v>0</v>
      </c>
      <c r="O15" s="160">
        <f>Novembro!$S$9</f>
        <v>0</v>
      </c>
      <c r="P15" s="154">
        <f>Dezembro!$S$9</f>
        <v>0</v>
      </c>
      <c r="Q15" s="58"/>
      <c r="R15" s="186"/>
      <c r="S15" s="560"/>
      <c r="T15" s="184"/>
      <c r="U15" s="117"/>
      <c r="V15" s="117"/>
      <c r="W15" s="117"/>
      <c r="X15" s="258"/>
      <c r="Y15" s="260" t="s">
        <v>419</v>
      </c>
      <c r="Z15" s="261">
        <f>(Abril!F34)+SUM(Abril!$K$5:$K$10,Abril!$K$14:$K$19,Abril!$K$23:$K$25)</f>
        <v>0</v>
      </c>
      <c r="AA15" s="262">
        <f>H25</f>
        <v>0</v>
      </c>
      <c r="AB15" s="262">
        <f t="shared" si="0"/>
        <v>43619</v>
      </c>
      <c r="AC15" s="381"/>
      <c r="AD15" s="258"/>
      <c r="AE15" s="117"/>
      <c r="AF15" s="117"/>
      <c r="AG15" s="59"/>
    </row>
    <row r="16" spans="1:34" ht="15" customHeight="1" x14ac:dyDescent="0.25">
      <c r="B16" s="56"/>
      <c r="C16" s="578" t="s">
        <v>215</v>
      </c>
      <c r="D16" s="594"/>
      <c r="E16" s="154">
        <f>Janeiro!$S$10</f>
        <v>120</v>
      </c>
      <c r="F16" s="154">
        <f>Fevereiro!$S$10</f>
        <v>0</v>
      </c>
      <c r="G16" s="160">
        <f>Março!$S$10</f>
        <v>0</v>
      </c>
      <c r="H16" s="154">
        <f>Abril!$S$10</f>
        <v>0</v>
      </c>
      <c r="I16" s="160">
        <f>Maio!$S$10</f>
        <v>0</v>
      </c>
      <c r="J16" s="154">
        <f>Junho!$S$10</f>
        <v>0</v>
      </c>
      <c r="K16" s="160">
        <f>Julho!$S$10</f>
        <v>0</v>
      </c>
      <c r="L16" s="154">
        <f>Agosto!$S$10</f>
        <v>0</v>
      </c>
      <c r="M16" s="160">
        <f>Setembro!$S$10</f>
        <v>0</v>
      </c>
      <c r="N16" s="154">
        <f>Outubro!$S$10</f>
        <v>0</v>
      </c>
      <c r="O16" s="160">
        <f>Novembro!$S$10</f>
        <v>0</v>
      </c>
      <c r="P16" s="154">
        <f>Dezembro!$S$10</f>
        <v>0</v>
      </c>
      <c r="Q16" s="58"/>
      <c r="R16" s="186"/>
      <c r="S16" s="561">
        <f>SUM(AA12:AA23)</f>
        <v>-5181</v>
      </c>
      <c r="T16" s="184"/>
      <c r="U16" s="117"/>
      <c r="V16" s="117"/>
      <c r="W16" s="117"/>
      <c r="X16" s="258"/>
      <c r="Y16" s="260" t="s">
        <v>420</v>
      </c>
      <c r="Z16" s="261">
        <f>(Maio!F34)+SUM(Maio!$K$5:$K$10,Maio!$K$14:$K$19,Maio!$K$23:$K$25)</f>
        <v>0</v>
      </c>
      <c r="AA16" s="262">
        <f>I25</f>
        <v>0</v>
      </c>
      <c r="AB16" s="262">
        <f t="shared" si="0"/>
        <v>43619</v>
      </c>
      <c r="AC16" s="381"/>
      <c r="AD16" s="258"/>
      <c r="AE16" s="117"/>
      <c r="AF16" s="117"/>
      <c r="AG16" s="59"/>
    </row>
    <row r="17" spans="2:33" ht="15" customHeight="1" thickBot="1" x14ac:dyDescent="0.3">
      <c r="B17" s="56"/>
      <c r="C17" s="578" t="s">
        <v>216</v>
      </c>
      <c r="D17" s="594"/>
      <c r="E17" s="154">
        <f>Janeiro!$S$11</f>
        <v>123</v>
      </c>
      <c r="F17" s="154">
        <f>Fevereiro!$S$11</f>
        <v>0</v>
      </c>
      <c r="G17" s="160">
        <f>Março!$S$11</f>
        <v>0</v>
      </c>
      <c r="H17" s="154">
        <f>Abril!$S$11</f>
        <v>0</v>
      </c>
      <c r="I17" s="160">
        <f>Maio!$S$11</f>
        <v>0</v>
      </c>
      <c r="J17" s="154">
        <f>Junho!$S$11</f>
        <v>0</v>
      </c>
      <c r="K17" s="160">
        <f>Julho!$S$11</f>
        <v>0</v>
      </c>
      <c r="L17" s="154">
        <f>Agosto!$S$11</f>
        <v>0</v>
      </c>
      <c r="M17" s="160">
        <f>Setembro!$S$11</f>
        <v>0</v>
      </c>
      <c r="N17" s="154">
        <f>Outubro!$S$11</f>
        <v>0</v>
      </c>
      <c r="O17" s="160">
        <f>Novembro!$S$11</f>
        <v>0</v>
      </c>
      <c r="P17" s="154">
        <f>Dezembro!$S$11</f>
        <v>0</v>
      </c>
      <c r="Q17" s="58"/>
      <c r="R17" s="186"/>
      <c r="S17" s="562"/>
      <c r="T17" s="184"/>
      <c r="U17" s="117"/>
      <c r="V17" s="117"/>
      <c r="W17" s="117"/>
      <c r="X17" s="258"/>
      <c r="Y17" s="260" t="s">
        <v>421</v>
      </c>
      <c r="Z17" s="261">
        <f>(Junho!F34)+SUM(Junho!$K$5:$K$10,Junho!$K$14:$K$19,Junho!$K$23:$K$25)</f>
        <v>0</v>
      </c>
      <c r="AA17" s="262">
        <f>J25</f>
        <v>0</v>
      </c>
      <c r="AB17" s="262">
        <f t="shared" si="0"/>
        <v>43619</v>
      </c>
      <c r="AC17" s="381"/>
      <c r="AD17" s="258"/>
      <c r="AE17" s="117"/>
      <c r="AF17" s="117"/>
      <c r="AG17" s="59"/>
    </row>
    <row r="18" spans="2:33" ht="15.75" customHeight="1" thickBot="1" x14ac:dyDescent="0.3">
      <c r="B18" s="56"/>
      <c r="C18" s="578" t="s">
        <v>218</v>
      </c>
      <c r="D18" s="594"/>
      <c r="E18" s="154">
        <f>Janeiro!$S$12</f>
        <v>0</v>
      </c>
      <c r="F18" s="154">
        <f>Fevereiro!$S$12</f>
        <v>0</v>
      </c>
      <c r="G18" s="160">
        <f>Março!$S$12</f>
        <v>0</v>
      </c>
      <c r="H18" s="154">
        <f>Abril!$S$12</f>
        <v>0</v>
      </c>
      <c r="I18" s="160">
        <f>Maio!$S$12</f>
        <v>0</v>
      </c>
      <c r="J18" s="154">
        <f>Junho!$S$12</f>
        <v>0</v>
      </c>
      <c r="K18" s="160">
        <f>Julho!$S$12</f>
        <v>0</v>
      </c>
      <c r="L18" s="154">
        <f>Agosto!$S$12</f>
        <v>0</v>
      </c>
      <c r="M18" s="160">
        <f>Setembro!$S$12</f>
        <v>0</v>
      </c>
      <c r="N18" s="154">
        <f>Outubro!$S$12</f>
        <v>0</v>
      </c>
      <c r="O18" s="160">
        <f>Novembro!$S$12</f>
        <v>0</v>
      </c>
      <c r="P18" s="154">
        <f>Dezembro!$S$12</f>
        <v>0</v>
      </c>
      <c r="Q18" s="58"/>
      <c r="R18" s="186"/>
      <c r="S18" s="117"/>
      <c r="T18" s="184"/>
      <c r="U18" s="117"/>
      <c r="V18" s="117"/>
      <c r="W18" s="117"/>
      <c r="X18" s="258"/>
      <c r="Y18" s="260" t="s">
        <v>422</v>
      </c>
      <c r="Z18" s="261">
        <f>(Julho!F34)+SUM(Julho!$K$5:$K$10,Julho!$K$14:$K$19,Julho!$K$23:$K$25)</f>
        <v>0</v>
      </c>
      <c r="AA18" s="262">
        <f>K25</f>
        <v>0</v>
      </c>
      <c r="AB18" s="262">
        <f t="shared" si="0"/>
        <v>43619</v>
      </c>
      <c r="AC18" s="381"/>
      <c r="AD18" s="258"/>
      <c r="AE18" s="117"/>
      <c r="AF18" s="117"/>
      <c r="AG18" s="59"/>
    </row>
    <row r="19" spans="2:33" ht="15" customHeight="1" x14ac:dyDescent="0.25">
      <c r="B19" s="56"/>
      <c r="C19" s="578" t="s">
        <v>15</v>
      </c>
      <c r="D19" s="594"/>
      <c r="E19" s="154">
        <f>Janeiro!$S$13</f>
        <v>250</v>
      </c>
      <c r="F19" s="154">
        <f>Fevereiro!$S$13</f>
        <v>0</v>
      </c>
      <c r="G19" s="160">
        <f>Março!$S$13</f>
        <v>0</v>
      </c>
      <c r="H19" s="154">
        <f>Abril!$S$13</f>
        <v>0</v>
      </c>
      <c r="I19" s="160">
        <f>Maio!$S$13</f>
        <v>0</v>
      </c>
      <c r="J19" s="154">
        <f>Junho!$S$13</f>
        <v>0</v>
      </c>
      <c r="K19" s="160">
        <f>Julho!$S$13</f>
        <v>0</v>
      </c>
      <c r="L19" s="154">
        <f>Agosto!$S$13</f>
        <v>0</v>
      </c>
      <c r="M19" s="160">
        <f>Setembro!$S$13</f>
        <v>0</v>
      </c>
      <c r="N19" s="154">
        <f>Outubro!$S$13</f>
        <v>0</v>
      </c>
      <c r="O19" s="160">
        <f>Novembro!$S$13</f>
        <v>0</v>
      </c>
      <c r="P19" s="154">
        <f>Dezembro!$S$13</f>
        <v>0</v>
      </c>
      <c r="Q19" s="58"/>
      <c r="R19" s="186"/>
      <c r="S19" s="559" t="s">
        <v>428</v>
      </c>
      <c r="T19" s="184"/>
      <c r="U19" s="117"/>
      <c r="V19" s="117"/>
      <c r="W19" s="117"/>
      <c r="X19" s="258"/>
      <c r="Y19" s="260" t="s">
        <v>423</v>
      </c>
      <c r="Z19" s="261">
        <f>(Agosto!F34)+SUM(Agosto!$K$5:$K$10,Agosto!$K$14:$K$19,Agosto!$K$23:$K$25)</f>
        <v>0</v>
      </c>
      <c r="AA19" s="262">
        <f>L25</f>
        <v>0</v>
      </c>
      <c r="AB19" s="262">
        <f t="shared" si="0"/>
        <v>43619</v>
      </c>
      <c r="AC19" s="381"/>
      <c r="AD19" s="258"/>
      <c r="AE19" s="117"/>
      <c r="AF19" s="117"/>
      <c r="AG19" s="59"/>
    </row>
    <row r="20" spans="2:33" ht="15.75" customHeight="1" thickBot="1" x14ac:dyDescent="0.3">
      <c r="B20" s="56"/>
      <c r="C20" s="578" t="s">
        <v>311</v>
      </c>
      <c r="D20" s="594"/>
      <c r="E20" s="154">
        <f>Janeiro!$S$14</f>
        <v>0</v>
      </c>
      <c r="F20" s="154">
        <f>Fevereiro!$S$14</f>
        <v>0</v>
      </c>
      <c r="G20" s="160">
        <f>Março!$S$14</f>
        <v>0</v>
      </c>
      <c r="H20" s="154">
        <f>Abril!$S$14</f>
        <v>0</v>
      </c>
      <c r="I20" s="160">
        <f>Maio!$S$14</f>
        <v>0</v>
      </c>
      <c r="J20" s="154">
        <f>Junho!$S$14</f>
        <v>0</v>
      </c>
      <c r="K20" s="160">
        <f>Julho!$S$14</f>
        <v>0</v>
      </c>
      <c r="L20" s="154">
        <f>Agosto!$S$14</f>
        <v>0</v>
      </c>
      <c r="M20" s="160">
        <f>Setembro!$S$14</f>
        <v>0</v>
      </c>
      <c r="N20" s="154">
        <f>Outubro!$S$14</f>
        <v>0</v>
      </c>
      <c r="O20" s="160">
        <f>Novembro!$S$14</f>
        <v>0</v>
      </c>
      <c r="P20" s="154">
        <f>Dezembro!$S$14</f>
        <v>0</v>
      </c>
      <c r="Q20" s="58"/>
      <c r="R20" s="186"/>
      <c r="S20" s="560"/>
      <c r="T20" s="184"/>
      <c r="U20" s="117"/>
      <c r="V20" s="117"/>
      <c r="W20" s="117"/>
      <c r="X20" s="258"/>
      <c r="Y20" s="260" t="s">
        <v>424</v>
      </c>
      <c r="Z20" s="261">
        <f>(Setembro!F34)+SUM(Setembro!$K$5:$K$10,Setembro!$K$14:$K$19,Setembro!$K$23:$K$25)</f>
        <v>0</v>
      </c>
      <c r="AA20" s="262">
        <f>M25</f>
        <v>0</v>
      </c>
      <c r="AB20" s="262">
        <f t="shared" si="0"/>
        <v>43619</v>
      </c>
      <c r="AC20" s="381"/>
      <c r="AD20" s="258"/>
      <c r="AE20" s="117"/>
      <c r="AF20" s="117"/>
      <c r="AG20" s="59"/>
    </row>
    <row r="21" spans="2:33" ht="15" customHeight="1" x14ac:dyDescent="0.25">
      <c r="B21" s="56"/>
      <c r="C21" s="578" t="s">
        <v>312</v>
      </c>
      <c r="D21" s="594"/>
      <c r="E21" s="154">
        <f>Janeiro!$S$15</f>
        <v>52</v>
      </c>
      <c r="F21" s="154">
        <f>Fevereiro!$S$15</f>
        <v>0</v>
      </c>
      <c r="G21" s="160">
        <f>Março!$S$15</f>
        <v>0</v>
      </c>
      <c r="H21" s="154">
        <f>Abril!$S$15</f>
        <v>0</v>
      </c>
      <c r="I21" s="160">
        <f>Maio!$S$15</f>
        <v>0</v>
      </c>
      <c r="J21" s="154">
        <f>Junho!$S$15</f>
        <v>0</v>
      </c>
      <c r="K21" s="160">
        <f>Julho!$S$15</f>
        <v>0</v>
      </c>
      <c r="L21" s="154">
        <f>Agosto!$S$15</f>
        <v>0</v>
      </c>
      <c r="M21" s="160">
        <f>Setembro!$S$15</f>
        <v>0</v>
      </c>
      <c r="N21" s="154">
        <f>Outubro!$S$15</f>
        <v>0</v>
      </c>
      <c r="O21" s="160">
        <f>Novembro!$S$15</f>
        <v>0</v>
      </c>
      <c r="P21" s="154">
        <f>Dezembro!$S$15</f>
        <v>0</v>
      </c>
      <c r="Q21" s="58"/>
      <c r="R21" s="186"/>
      <c r="S21" s="561">
        <f>SUM(Z12:Z23)+SUM(AA12:AA23)</f>
        <v>43619</v>
      </c>
      <c r="T21" s="184"/>
      <c r="U21" s="117"/>
      <c r="V21" s="117"/>
      <c r="W21" s="117"/>
      <c r="X21" s="258"/>
      <c r="Y21" s="260" t="s">
        <v>425</v>
      </c>
      <c r="Z21" s="261">
        <f>(Outubro!F34)+SUM(Outubro!$K$5:$K$10,Outubro!$K$14:$K$19,Outubro!$K$23:$K$25)</f>
        <v>0</v>
      </c>
      <c r="AA21" s="262">
        <f>N25</f>
        <v>0</v>
      </c>
      <c r="AB21" s="262">
        <f t="shared" si="0"/>
        <v>43619</v>
      </c>
      <c r="AC21" s="381"/>
      <c r="AD21" s="258"/>
      <c r="AE21" s="117"/>
      <c r="AF21" s="117"/>
      <c r="AG21" s="59"/>
    </row>
    <row r="22" spans="2:33" ht="15.75" customHeight="1" thickBot="1" x14ac:dyDescent="0.3">
      <c r="B22" s="56"/>
      <c r="C22" s="599" t="s">
        <v>390</v>
      </c>
      <c r="D22" s="600"/>
      <c r="E22" s="154">
        <f>SUM(Janeiro!$M$11,Janeiro!$M$20,Janeiro!$M$26)</f>
        <v>0</v>
      </c>
      <c r="F22" s="154">
        <f>SUM(Fevereiro!$M$11,Fevereiro!$M$20,Fevereiro!$M$26)</f>
        <v>0</v>
      </c>
      <c r="G22" s="160">
        <f>SUM(Março!$M$11,Março!$M$20,Março!$M$26)</f>
        <v>0</v>
      </c>
      <c r="H22" s="154">
        <f>SUM(Abril!$M$11,Abril!$M$20,Abril!$M$26)</f>
        <v>0</v>
      </c>
      <c r="I22" s="160">
        <f>SUM(Maio!$M$11,Maio!$M$20,Maio!$M$26)</f>
        <v>0</v>
      </c>
      <c r="J22" s="154">
        <f>SUM(Junho!$M$11,Junho!$M$20,Junho!$M$26)</f>
        <v>0</v>
      </c>
      <c r="K22" s="160">
        <f>SUM(Julho!$M$11,Julho!$M$20,Julho!$M$26)</f>
        <v>0</v>
      </c>
      <c r="L22" s="154">
        <f>SUM(Agosto!$M$11,Agosto!$M$20,Agosto!$M$26)</f>
        <v>0</v>
      </c>
      <c r="M22" s="160">
        <f>SUM(Setembro!$M$11,Setembro!$M$20,Setembro!$M$26)</f>
        <v>0</v>
      </c>
      <c r="N22" s="154">
        <f>SUM(Outubro!$M$11,Outubro!$M$20,Outubro!$M$26)</f>
        <v>0</v>
      </c>
      <c r="O22" s="160">
        <f>SUM(Novembro!$M$11,Novembro!$M$20,Novembro!$M$26)</f>
        <v>0</v>
      </c>
      <c r="P22" s="154">
        <f>SUM(Dezembro!$M$11,Dezembro!$M$20,Dezembro!$M$26)</f>
        <v>0</v>
      </c>
      <c r="Q22" s="58"/>
      <c r="R22" s="186"/>
      <c r="S22" s="562"/>
      <c r="T22" s="184"/>
      <c r="U22" s="117"/>
      <c r="V22" s="117"/>
      <c r="W22" s="117"/>
      <c r="X22" s="258"/>
      <c r="Y22" s="260" t="s">
        <v>426</v>
      </c>
      <c r="Z22" s="261">
        <f>(Novembro!F34)+SUM(Novembro!$K$5:$K$10,Novembro!$K$14:$K$19,Novembro!$K$23:$K$25)</f>
        <v>0</v>
      </c>
      <c r="AA22" s="262">
        <f>O25</f>
        <v>0</v>
      </c>
      <c r="AB22" s="262">
        <f t="shared" si="0"/>
        <v>43619</v>
      </c>
      <c r="AC22" s="381"/>
      <c r="AD22" s="258"/>
      <c r="AE22" s="117"/>
      <c r="AF22" s="117"/>
      <c r="AG22" s="59"/>
    </row>
    <row r="23" spans="2:33" x14ac:dyDescent="0.25">
      <c r="B23" s="56"/>
      <c r="C23" s="599" t="s">
        <v>305</v>
      </c>
      <c r="D23" s="600"/>
      <c r="E23" s="154">
        <f>Janeiro!$S$16</f>
        <v>1500</v>
      </c>
      <c r="F23" s="154">
        <f>Fevereiro!$S$16</f>
        <v>0</v>
      </c>
      <c r="G23" s="160">
        <f>Março!$S$16</f>
        <v>0</v>
      </c>
      <c r="H23" s="154">
        <f>Abril!$S$16</f>
        <v>0</v>
      </c>
      <c r="I23" s="160">
        <f>Maio!$S$16</f>
        <v>0</v>
      </c>
      <c r="J23" s="154">
        <f>Junho!$S$16</f>
        <v>0</v>
      </c>
      <c r="K23" s="160">
        <f>Julho!$S$16</f>
        <v>0</v>
      </c>
      <c r="L23" s="154">
        <f>Agosto!$S$16</f>
        <v>0</v>
      </c>
      <c r="M23" s="160">
        <f>Setembro!$S$16</f>
        <v>0</v>
      </c>
      <c r="N23" s="154">
        <f>Outubro!$S$16</f>
        <v>0</v>
      </c>
      <c r="O23" s="160">
        <f>Novembro!$S$16</f>
        <v>0</v>
      </c>
      <c r="P23" s="154">
        <f>Dezembro!$S$16</f>
        <v>0</v>
      </c>
      <c r="Q23" s="58"/>
      <c r="R23" s="186"/>
      <c r="S23" s="117"/>
      <c r="T23" s="184"/>
      <c r="U23" s="117"/>
      <c r="V23" s="117"/>
      <c r="W23" s="117"/>
      <c r="X23" s="258"/>
      <c r="Y23" s="260" t="s">
        <v>427</v>
      </c>
      <c r="Z23" s="261">
        <f>(Dezembro!F34)+SUM(Dezembro!$K$5:$K$10,Dezembro!$K$14:$K$19,Dezembro!$K$23:$K$25)</f>
        <v>0</v>
      </c>
      <c r="AA23" s="262">
        <f>P25</f>
        <v>0</v>
      </c>
      <c r="AB23" s="262">
        <f>Z23+AA23+AB22</f>
        <v>43619</v>
      </c>
      <c r="AC23" s="381"/>
      <c r="AD23" s="258"/>
      <c r="AE23" s="117"/>
      <c r="AF23" s="117"/>
      <c r="AG23" s="59"/>
    </row>
    <row r="24" spans="2:33" x14ac:dyDescent="0.25">
      <c r="B24" s="56"/>
      <c r="C24" s="599" t="s">
        <v>217</v>
      </c>
      <c r="D24" s="600"/>
      <c r="E24" s="154">
        <f>Janeiro!$V$39</f>
        <v>426</v>
      </c>
      <c r="F24" s="154">
        <f>Fevereiro!$V$39</f>
        <v>0</v>
      </c>
      <c r="G24" s="160">
        <f>Março!$V$39</f>
        <v>0</v>
      </c>
      <c r="H24" s="154">
        <f>Abril!$V$39</f>
        <v>0</v>
      </c>
      <c r="I24" s="160">
        <f>Maio!$V$39</f>
        <v>0</v>
      </c>
      <c r="J24" s="154">
        <f>Junho!$V$39</f>
        <v>0</v>
      </c>
      <c r="K24" s="160">
        <f>Julho!$V$39</f>
        <v>0</v>
      </c>
      <c r="L24" s="154">
        <f>Agosto!$V$39</f>
        <v>0</v>
      </c>
      <c r="M24" s="160">
        <f>Setembro!$V$39</f>
        <v>0</v>
      </c>
      <c r="N24" s="154">
        <f>Outubro!$V$39</f>
        <v>0</v>
      </c>
      <c r="O24" s="160">
        <f>Novembro!$V$39</f>
        <v>0</v>
      </c>
      <c r="P24" s="154">
        <f>Dezembro!$V$39</f>
        <v>0</v>
      </c>
      <c r="Q24" s="58"/>
      <c r="R24" s="186"/>
      <c r="S24" s="117"/>
      <c r="T24" s="184"/>
      <c r="U24" s="117"/>
      <c r="V24" s="117"/>
      <c r="W24" s="117"/>
      <c r="X24" s="258"/>
      <c r="Y24" s="258"/>
      <c r="Z24" s="258"/>
      <c r="AA24" s="258"/>
      <c r="AB24" s="258"/>
      <c r="AC24" s="381"/>
      <c r="AD24" s="258"/>
      <c r="AE24" s="117"/>
      <c r="AF24" s="117"/>
      <c r="AG24" s="59"/>
    </row>
    <row r="25" spans="2:33" ht="15.75" thickBot="1" x14ac:dyDescent="0.3">
      <c r="B25" s="56"/>
      <c r="C25" s="597" t="s">
        <v>27</v>
      </c>
      <c r="D25" s="609"/>
      <c r="E25" s="265">
        <f>-SUM(E10:E24)</f>
        <v>-5181</v>
      </c>
      <c r="F25" s="265">
        <f t="shared" ref="F25:O25" si="1">-SUM(F10:F24)</f>
        <v>0</v>
      </c>
      <c r="G25" s="162">
        <f t="shared" si="1"/>
        <v>0</v>
      </c>
      <c r="H25" s="265">
        <f t="shared" si="1"/>
        <v>0</v>
      </c>
      <c r="I25" s="162">
        <f t="shared" si="1"/>
        <v>0</v>
      </c>
      <c r="J25" s="265">
        <f t="shared" si="1"/>
        <v>0</v>
      </c>
      <c r="K25" s="162">
        <f t="shared" si="1"/>
        <v>0</v>
      </c>
      <c r="L25" s="265">
        <f t="shared" si="1"/>
        <v>0</v>
      </c>
      <c r="M25" s="162">
        <f t="shared" si="1"/>
        <v>0</v>
      </c>
      <c r="N25" s="265">
        <f t="shared" si="1"/>
        <v>0</v>
      </c>
      <c r="O25" s="162">
        <f t="shared" si="1"/>
        <v>0</v>
      </c>
      <c r="P25" s="265">
        <f>-SUM(P10:P24)</f>
        <v>0</v>
      </c>
      <c r="Q25" s="58"/>
      <c r="R25" s="187"/>
      <c r="S25" s="188"/>
      <c r="T25" s="185"/>
      <c r="U25" s="117"/>
      <c r="V25" s="117"/>
      <c r="W25" s="117"/>
      <c r="X25" s="258"/>
      <c r="Y25" s="381"/>
      <c r="Z25" s="381"/>
      <c r="AA25" s="381"/>
      <c r="AB25" s="381"/>
      <c r="AC25" s="381"/>
      <c r="AD25" s="258"/>
      <c r="AE25" s="117"/>
      <c r="AF25" s="117"/>
      <c r="AG25" s="59"/>
    </row>
    <row r="26" spans="2:33" ht="15" customHeight="1" x14ac:dyDescent="0.25">
      <c r="B26" s="56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58"/>
      <c r="R26" s="58"/>
      <c r="S26" s="58"/>
      <c r="T26" s="58"/>
      <c r="U26" s="58"/>
      <c r="V26" s="58"/>
      <c r="W26" s="58"/>
      <c r="X26" s="266"/>
      <c r="Y26" s="266"/>
      <c r="Z26" s="266"/>
      <c r="AA26" s="266"/>
      <c r="AB26" s="266"/>
      <c r="AC26" s="266"/>
      <c r="AD26" s="266"/>
      <c r="AE26" s="58"/>
      <c r="AF26" s="58"/>
      <c r="AG26" s="59"/>
    </row>
    <row r="27" spans="2:33" ht="15" customHeight="1" x14ac:dyDescent="0.25">
      <c r="B27" s="56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9"/>
    </row>
    <row r="28" spans="2:33" ht="15.75" customHeight="1" thickBot="1" x14ac:dyDescent="0.3">
      <c r="B28" s="56"/>
      <c r="C28" s="189"/>
      <c r="D28" s="189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9"/>
    </row>
    <row r="29" spans="2:33" ht="15" customHeight="1" x14ac:dyDescent="0.25">
      <c r="B29" s="56"/>
      <c r="C29" s="613" t="s">
        <v>501</v>
      </c>
      <c r="D29" s="614"/>
      <c r="E29" s="610">
        <f>IF(Janeiro!$D$34=0,"",Janeiro!$F$34/(SUM(Janeiro!$K$5:$K$10,Janeiro!$K$14:$K$19,Janeiro!$F$34,Janeiro!$K$23:$K$25)))</f>
        <v>0.67213114754098358</v>
      </c>
      <c r="F29" s="610" t="str">
        <f>IF(Fevereiro!$D$34=0,"",Fevereiro!$F$34/(SUM(Fevereiro!$K$5:$K$10,Fevereiro!$K$14:$K$19,Fevereiro!$F$34,Fevereiro!$K$23:$K$25)))</f>
        <v/>
      </c>
      <c r="G29" s="610" t="str">
        <f>IF(Março!$D$34=0,"",Março!$F$34/(SUM(Março!$K$5:$K$10,Março!$K$14:$K$19,Março!$F$34,Março!$K$23:$K$25)))</f>
        <v/>
      </c>
      <c r="H29" s="610" t="str">
        <f>IF(Abril!$D$34=0,"",Abril!$F$34/(SUM(Abril!$K$5:$K$10,Abril!$K$14:$K$19,Abril!$F$34,Abril!$K$23:$K$25)))</f>
        <v/>
      </c>
      <c r="I29" s="610" t="str">
        <f>IF(Maio!$D$34=0,"",Maio!$F$34/(SUM(Maio!$K$5:$K$10,Maio!$K$14:$K$19,Maio!$F$34,Maio!$K$23:$K$25)))</f>
        <v/>
      </c>
      <c r="J29" s="610" t="str">
        <f>IF(Junho!$D$34=0,"",Junho!$F$34/(SUM(Junho!$K$5:$K$10,Junho!$K$14:$K$19,Junho!$F$34,Junho!$K$23:$K$25)))</f>
        <v/>
      </c>
      <c r="K29" s="610" t="str">
        <f>IF(Julho!$D$34=0,"",Julho!$F$34/(SUM(Julho!$K$5:$K$10,Julho!$K$14:$K$19,Julho!$F$34,Julho!$K$23:$K$25)))</f>
        <v/>
      </c>
      <c r="L29" s="610" t="str">
        <f>IF(Agosto!$D$34=0,"",Agosto!$F$34/(SUM(Agosto!$K$5:$K$10,Agosto!$K$14:$K$19,Agosto!$F$34,Agosto!$K$23:$K$25)))</f>
        <v/>
      </c>
      <c r="M29" s="610" t="str">
        <f>IF(Setembro!$D$34=0,"",Setembro!$F$34/(SUM(Setembro!$K$5:$K$10,Setembro!$K$14:$K$19,Setembro!$F$34,Setembro!$K$23:$K$25)))</f>
        <v/>
      </c>
      <c r="N29" s="610" t="str">
        <f>IF(Outubro!$D$34=0,"",Outubro!$F$34/(SUM(Outubro!$K$5:$K$10,Outubro!$K$14:$K$19,Outubro!$F$34,Outubro!$K$23:$K$25)))</f>
        <v/>
      </c>
      <c r="O29" s="610" t="str">
        <f>IF(Novembro!$D$34=0,"",Novembro!$F$34/(SUM(Novembro!$K$5:$K$10,Novembro!$K$14:$K$19,Novembro!$F$34,Novembro!$K$23:$K$25)))</f>
        <v/>
      </c>
      <c r="P29" s="610" t="str">
        <f>IF(Dezembro!$D$34=0,"",Dezembro!$F$34/(SUM(Dezembro!$K$5:$K$10,Dezembro!$K$14:$K$19,Dezembro!$F$34,Dezembro!$K$23:$K$25)))</f>
        <v/>
      </c>
      <c r="Q29" s="58"/>
      <c r="R29" s="580" t="s">
        <v>506</v>
      </c>
      <c r="S29" s="581"/>
      <c r="T29" s="581"/>
      <c r="U29" s="581"/>
      <c r="V29" s="581"/>
      <c r="W29" s="581"/>
      <c r="X29" s="580" t="s">
        <v>505</v>
      </c>
      <c r="Y29" s="581"/>
      <c r="Z29" s="581"/>
      <c r="AA29" s="581"/>
      <c r="AB29" s="581"/>
      <c r="AC29" s="581"/>
      <c r="AD29" s="581"/>
      <c r="AE29" s="581"/>
      <c r="AF29" s="582"/>
      <c r="AG29" s="59"/>
    </row>
    <row r="30" spans="2:33" ht="15.75" customHeight="1" thickBot="1" x14ac:dyDescent="0.3">
      <c r="B30" s="56"/>
      <c r="C30" s="615"/>
      <c r="D30" s="616"/>
      <c r="E30" s="611"/>
      <c r="F30" s="611"/>
      <c r="G30" s="611"/>
      <c r="H30" s="611"/>
      <c r="I30" s="611"/>
      <c r="J30" s="611"/>
      <c r="K30" s="611"/>
      <c r="L30" s="611"/>
      <c r="M30" s="611"/>
      <c r="N30" s="611"/>
      <c r="O30" s="611"/>
      <c r="P30" s="611"/>
      <c r="Q30" s="58"/>
      <c r="R30" s="583"/>
      <c r="S30" s="584"/>
      <c r="T30" s="584"/>
      <c r="U30" s="584"/>
      <c r="V30" s="584"/>
      <c r="W30" s="584"/>
      <c r="X30" s="583"/>
      <c r="Y30" s="584"/>
      <c r="Z30" s="584"/>
      <c r="AA30" s="584"/>
      <c r="AB30" s="584"/>
      <c r="AC30" s="584"/>
      <c r="AD30" s="584"/>
      <c r="AE30" s="584"/>
      <c r="AF30" s="585"/>
      <c r="AG30" s="59"/>
    </row>
    <row r="31" spans="2:33" ht="5.25" customHeight="1" thickBot="1" x14ac:dyDescent="0.55000000000000004">
      <c r="B31" s="56"/>
      <c r="C31" s="617"/>
      <c r="D31" s="618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58"/>
      <c r="R31" s="191"/>
      <c r="S31" s="250"/>
      <c r="T31" s="250"/>
      <c r="U31" s="250"/>
      <c r="V31" s="250"/>
      <c r="W31" s="191"/>
      <c r="X31" s="191"/>
      <c r="Y31" s="191"/>
      <c r="Z31" s="250"/>
      <c r="AA31" s="250"/>
      <c r="AB31" s="250"/>
      <c r="AC31" s="250"/>
      <c r="AD31" s="250"/>
      <c r="AE31" s="191"/>
      <c r="AF31" s="191"/>
      <c r="AG31" s="59"/>
    </row>
    <row r="32" spans="2:33" ht="27.75" customHeight="1" thickBot="1" x14ac:dyDescent="0.55000000000000004">
      <c r="B32" s="56"/>
      <c r="C32" s="603"/>
      <c r="D32" s="604"/>
      <c r="E32" s="545" t="str">
        <f t="shared" ref="E32:P32" si="2">E9</f>
        <v>Janeiro</v>
      </c>
      <c r="F32" s="545" t="str">
        <f t="shared" si="2"/>
        <v>Fevereiro</v>
      </c>
      <c r="G32" s="545" t="str">
        <f t="shared" si="2"/>
        <v>Março</v>
      </c>
      <c r="H32" s="545" t="str">
        <f t="shared" si="2"/>
        <v>Abril</v>
      </c>
      <c r="I32" s="545" t="str">
        <f t="shared" si="2"/>
        <v>Maio</v>
      </c>
      <c r="J32" s="545" t="str">
        <f t="shared" si="2"/>
        <v>Junho</v>
      </c>
      <c r="K32" s="545" t="str">
        <f t="shared" si="2"/>
        <v>Julho</v>
      </c>
      <c r="L32" s="545" t="str">
        <f t="shared" si="2"/>
        <v>Agosto</v>
      </c>
      <c r="M32" s="545" t="str">
        <f t="shared" si="2"/>
        <v>Setembro</v>
      </c>
      <c r="N32" s="545" t="str">
        <f t="shared" si="2"/>
        <v>Outubro</v>
      </c>
      <c r="O32" s="545" t="str">
        <f t="shared" si="2"/>
        <v>Novembro</v>
      </c>
      <c r="P32" s="545" t="str">
        <f t="shared" si="2"/>
        <v>Dezembro</v>
      </c>
      <c r="Q32" s="58"/>
      <c r="R32" s="58"/>
      <c r="S32" s="315" t="str">
        <f>Z32</f>
        <v>Mês</v>
      </c>
      <c r="T32" s="563" t="s">
        <v>416</v>
      </c>
      <c r="U32" s="564"/>
      <c r="V32" s="565"/>
      <c r="W32" s="58"/>
      <c r="X32" s="58"/>
      <c r="Y32" s="58"/>
      <c r="Z32" s="566" t="s">
        <v>504</v>
      </c>
      <c r="AA32" s="567"/>
      <c r="AB32" s="563" t="str">
        <f>T32</f>
        <v>Janeiro</v>
      </c>
      <c r="AC32" s="564"/>
      <c r="AD32" s="565"/>
      <c r="AE32" s="166"/>
      <c r="AF32" s="166"/>
      <c r="AG32" s="59"/>
    </row>
    <row r="33" spans="2:33" ht="32.25" thickBot="1" x14ac:dyDescent="0.55000000000000004">
      <c r="B33" s="56"/>
      <c r="C33" s="605"/>
      <c r="D33" s="606"/>
      <c r="E33" s="546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58"/>
      <c r="R33" s="58"/>
      <c r="S33" s="58"/>
      <c r="T33" s="58"/>
      <c r="U33" s="58"/>
      <c r="V33" s="58"/>
      <c r="W33" s="58"/>
      <c r="X33" s="58"/>
      <c r="Y33" s="58"/>
      <c r="Z33" s="251"/>
      <c r="AA33" s="251"/>
      <c r="AB33" s="251"/>
      <c r="AC33" s="251"/>
      <c r="AD33" s="251"/>
      <c r="AE33" s="166"/>
      <c r="AF33" s="166"/>
      <c r="AG33" s="59"/>
    </row>
    <row r="34" spans="2:33" ht="15.75" thickBot="1" x14ac:dyDescent="0.3">
      <c r="B34" s="56"/>
      <c r="C34" s="607" t="s">
        <v>333</v>
      </c>
      <c r="D34" s="608"/>
      <c r="E34" s="252">
        <f>SUM(E35,E36,E37,E38,E39)</f>
        <v>0.11342213114754099</v>
      </c>
      <c r="F34" s="252">
        <f t="shared" ref="F34:P34" si="3">SUM(F35,F36,F37,F38,F39)</f>
        <v>0</v>
      </c>
      <c r="G34" s="252">
        <f t="shared" si="3"/>
        <v>0</v>
      </c>
      <c r="H34" s="252">
        <f t="shared" si="3"/>
        <v>0</v>
      </c>
      <c r="I34" s="252">
        <f t="shared" si="3"/>
        <v>0</v>
      </c>
      <c r="J34" s="252">
        <f t="shared" si="3"/>
        <v>0</v>
      </c>
      <c r="K34" s="252">
        <f t="shared" si="3"/>
        <v>0</v>
      </c>
      <c r="L34" s="252">
        <f t="shared" si="3"/>
        <v>0</v>
      </c>
      <c r="M34" s="252">
        <f t="shared" si="3"/>
        <v>0</v>
      </c>
      <c r="N34" s="252">
        <f t="shared" si="3"/>
        <v>0</v>
      </c>
      <c r="O34" s="252">
        <f t="shared" si="3"/>
        <v>0</v>
      </c>
      <c r="P34" s="252">
        <f t="shared" si="3"/>
        <v>0</v>
      </c>
      <c r="Q34" s="58"/>
      <c r="R34" s="192"/>
      <c r="S34" s="193"/>
      <c r="T34" s="193"/>
      <c r="U34" s="194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</row>
    <row r="35" spans="2:33" ht="15.75" thickBot="1" x14ac:dyDescent="0.3">
      <c r="B35" s="56"/>
      <c r="C35" s="601" t="s">
        <v>211</v>
      </c>
      <c r="D35" s="602"/>
      <c r="E35" s="183">
        <f>IF(Janeiro!$D$34=0,"",(Janeiro!$S5/Janeiro!$D$34)*E$29)</f>
        <v>8.4016393442622947E-3</v>
      </c>
      <c r="F35" s="382" t="str">
        <f>IF(Fevereiro!$D$34=0,"",(Fevereiro!$S5/Fevereiro!$D$34)*F$29)</f>
        <v/>
      </c>
      <c r="G35" s="183" t="str">
        <f>IF(Março!$D$34=0,"",(Março!$S5/Março!$D$34)*G$29)</f>
        <v/>
      </c>
      <c r="H35" s="183" t="str">
        <f>IF(Abril!$D$34=0,"",(Abril!$S5/Abril!$D$34)*H$29)</f>
        <v/>
      </c>
      <c r="I35" s="183" t="str">
        <f>IF(Maio!$D$34=0,"",(Maio!$S5/Maio!$D$34)*I$29)</f>
        <v/>
      </c>
      <c r="J35" s="183" t="str">
        <f>IF(Junho!$D$34=0,"",(Junho!$S5/Junho!$D$34)*J$29)</f>
        <v/>
      </c>
      <c r="K35" s="183" t="str">
        <f>IF(Julho!$D$34=0,"",(Julho!$S5/Julho!$D$34)*K$29)</f>
        <v/>
      </c>
      <c r="L35" s="183" t="str">
        <f>IF(Agosto!$D$34=0,"",(Agosto!$S5/Agosto!$D$34)*L$29)</f>
        <v/>
      </c>
      <c r="M35" s="183" t="str">
        <f>IF(Setembro!$D$34=0,"",(Setembro!$S5/Setembro!$D$34)*M$29)</f>
        <v/>
      </c>
      <c r="N35" s="183" t="str">
        <f>IF(Outubro!$D$34=0,"",(Outubro!$S5/Outubro!$D$34)*N$29)</f>
        <v/>
      </c>
      <c r="O35" s="183" t="str">
        <f>IF(Novembro!$D$34=0,"",(Novembro!$S5/Novembro!$D$34)*O$29)</f>
        <v/>
      </c>
      <c r="P35" s="183" t="str">
        <f>IF(Dezembro!$D$34=0,"",(Dezembro!$S5/Dezembro!$D$34)*P$29)</f>
        <v/>
      </c>
      <c r="Q35" s="58"/>
      <c r="R35" s="186"/>
      <c r="S35" s="117"/>
      <c r="T35" s="117"/>
      <c r="U35" s="184"/>
      <c r="V35" s="58"/>
      <c r="W35" s="371"/>
      <c r="X35" s="371"/>
      <c r="Y35" s="371"/>
      <c r="Z35" s="371"/>
      <c r="AA35" s="371"/>
      <c r="AB35" s="371"/>
      <c r="AC35" s="371"/>
      <c r="AD35" s="58"/>
      <c r="AE35" s="58"/>
      <c r="AF35" s="58"/>
      <c r="AG35" s="59"/>
    </row>
    <row r="36" spans="2:33" ht="15" customHeight="1" x14ac:dyDescent="0.25">
      <c r="B36" s="56"/>
      <c r="C36" s="578" t="s">
        <v>212</v>
      </c>
      <c r="D36" s="579"/>
      <c r="E36" s="254">
        <f>IF(Janeiro!$D$34=0,"",((Janeiro!$S$6)/Janeiro!$D$34)*$E$29)</f>
        <v>6.3012295081967207E-2</v>
      </c>
      <c r="F36" s="382" t="str">
        <f>IF(Fevereiro!$D$34=0,"",((Fevereiro!$S$6)/Fevereiro!$D$34)*$E$29)</f>
        <v/>
      </c>
      <c r="G36" s="254" t="str">
        <f>IF(Março!$D$34=0,"",((Março!$S$6)/Março!$D$34)*$E$29)</f>
        <v/>
      </c>
      <c r="H36" s="254" t="str">
        <f>IF(Abril!$D$34=0,"",((Abril!$S$6)/Abril!$D$34)*$E$29)</f>
        <v/>
      </c>
      <c r="I36" s="254" t="str">
        <f>IF(Maio!$D$34=0,"",((Maio!$S$6)/Maio!$D$34)*$E$29)</f>
        <v/>
      </c>
      <c r="J36" s="254" t="str">
        <f>IF(Junho!$D$34=0,"",((Junho!$S$6)/Junho!$D$34)*$E$29)</f>
        <v/>
      </c>
      <c r="K36" s="254" t="str">
        <f>IF(Julho!$D$34=0,"",((Julho!$S$6)/Julho!$D$34)*$E$29)</f>
        <v/>
      </c>
      <c r="L36" s="254" t="str">
        <f>IF(Agosto!$D$34=0,"",((Agosto!$S$6)/Agosto!$D$34)*$E$29)</f>
        <v/>
      </c>
      <c r="M36" s="254" t="str">
        <f>IF(Setembro!$D$34=0,"",((Setembro!$S$6)/Setembro!$D$34)*$E$29)</f>
        <v/>
      </c>
      <c r="N36" s="254" t="str">
        <f>IF(Outubro!$D$34=0,"",((Outubro!$S$6)/Outubro!$D$34)*$E$29)</f>
        <v/>
      </c>
      <c r="O36" s="254" t="str">
        <f>IF(Novembro!$D$34=0,"",((Novembro!$S$6)/Novembro!$D$34)*$E$29)</f>
        <v/>
      </c>
      <c r="P36" s="254" t="str">
        <f>IF(Dezembro!$D$34=0,"",((Dezembro!$S$6)/Dezembro!$D$34)*$E$29)</f>
        <v/>
      </c>
      <c r="Q36" s="58"/>
      <c r="R36" s="248"/>
      <c r="S36" s="547" t="s">
        <v>509</v>
      </c>
      <c r="T36" s="548"/>
      <c r="U36" s="249"/>
      <c r="V36" s="58"/>
      <c r="W36" s="371"/>
      <c r="X36" s="371"/>
      <c r="Y36" s="371"/>
      <c r="Z36" s="371"/>
      <c r="AA36" s="371"/>
      <c r="AB36" s="371"/>
      <c r="AC36" s="371"/>
      <c r="AD36" s="58"/>
      <c r="AE36" s="58"/>
      <c r="AF36" s="58"/>
      <c r="AG36" s="59"/>
    </row>
    <row r="37" spans="2:33" ht="15.75" customHeight="1" thickBot="1" x14ac:dyDescent="0.3">
      <c r="B37" s="56"/>
      <c r="C37" s="578" t="s">
        <v>9</v>
      </c>
      <c r="D37" s="579"/>
      <c r="E37" s="183">
        <f>IF(Janeiro!$D$34=0,"",(Janeiro!$S$7/Janeiro!$D$34)*$E$29)</f>
        <v>2.1004098360655737E-2</v>
      </c>
      <c r="F37" s="382" t="str">
        <f>IF(Fevereiro!$D$34=0,"",(Fevereiro!$S$7/Fevereiro!$D$34)*$E$29)</f>
        <v/>
      </c>
      <c r="G37" s="183" t="str">
        <f>IF(Março!$D$34=0,"",(Março!$S$7/Março!$D$34)*$E$29)</f>
        <v/>
      </c>
      <c r="H37" s="183" t="str">
        <f>IF(Abril!$D$34=0,"",(Abril!$S$7/Abril!$D$34)*$E$29)</f>
        <v/>
      </c>
      <c r="I37" s="183" t="str">
        <f>IF(Maio!$D$34=0,"",(Maio!$S$7/Maio!$D$34)*$E$29)</f>
        <v/>
      </c>
      <c r="J37" s="183" t="str">
        <f>IF(Junho!$D$34=0,"",(Junho!$S$7/Junho!$D$34)*$E$29)</f>
        <v/>
      </c>
      <c r="K37" s="183" t="str">
        <f>IF(Julho!$D$34=0,"",(Julho!$S$7/Julho!$D$34)*$E$29)</f>
        <v/>
      </c>
      <c r="L37" s="183" t="str">
        <f>IF(Agosto!$D$34=0,"",(Agosto!$S$7/Agosto!$D$34)*$E$29)</f>
        <v/>
      </c>
      <c r="M37" s="183" t="str">
        <f>IF(Setembro!$D$34=0,"",(Setembro!$S$7/Setembro!$D$34)*$E$29)</f>
        <v/>
      </c>
      <c r="N37" s="183" t="str">
        <f>IF(Outubro!$D$34=0,"",(Outubro!$S$7/Outubro!$D$34)*$E$29)</f>
        <v/>
      </c>
      <c r="O37" s="183" t="str">
        <f>IF(Novembro!$D$34=0,"",(Novembro!$S$7/Novembro!$D$34)*$E$29)</f>
        <v/>
      </c>
      <c r="P37" s="183" t="str">
        <f>IF(Dezembro!$D$34=0,"",(Dezembro!$S$7/Dezembro!$D$34)*$E$29)</f>
        <v/>
      </c>
      <c r="Q37" s="58"/>
      <c r="R37" s="248"/>
      <c r="S37" s="549"/>
      <c r="T37" s="550"/>
      <c r="U37" s="249"/>
      <c r="V37" s="58"/>
      <c r="W37" s="371"/>
      <c r="X37" s="371"/>
      <c r="Y37" s="371"/>
      <c r="Z37" s="371"/>
      <c r="AA37" s="371"/>
      <c r="AB37" s="371"/>
      <c r="AC37" s="371"/>
      <c r="AD37" s="370"/>
      <c r="AE37" s="370"/>
      <c r="AF37" s="58"/>
      <c r="AG37" s="59"/>
    </row>
    <row r="38" spans="2:33" ht="15" customHeight="1" x14ac:dyDescent="0.25">
      <c r="B38" s="56"/>
      <c r="C38" s="578" t="s">
        <v>26</v>
      </c>
      <c r="D38" s="579"/>
      <c r="E38" s="183">
        <f>IF(Janeiro!$D$34=0,"",(Janeiro!$S$8/Janeiro!$D$34)*$E$29)</f>
        <v>2.1004098360655737E-2</v>
      </c>
      <c r="F38" s="382" t="str">
        <f>IF(Fevereiro!$D$34=0,"",(Fevereiro!$S$8/Fevereiro!$D$34)*$E$29)</f>
        <v/>
      </c>
      <c r="G38" s="183" t="str">
        <f>IF(Março!$D$34=0,"",(Março!$S$8/Março!$D$34)*$E$29)</f>
        <v/>
      </c>
      <c r="H38" s="183" t="str">
        <f>IF(Abril!$D$34=0,"",(Abril!$S$8/Abril!$D$34)*$E$29)</f>
        <v/>
      </c>
      <c r="I38" s="183" t="str">
        <f>IF(Maio!$D$34=0,"",(Maio!$S$8/Maio!$D$34)*$E$29)</f>
        <v/>
      </c>
      <c r="J38" s="183" t="str">
        <f>IF(Junho!$D$34=0,"",(Junho!$S$8/Junho!$D$34)*$E$29)</f>
        <v/>
      </c>
      <c r="K38" s="183" t="str">
        <f>IF(Julho!$D$34=0,"",(Julho!$S$8/Julho!$D$34)*$E$29)</f>
        <v/>
      </c>
      <c r="L38" s="183" t="str">
        <f>IF(Agosto!$D$34=0,"",(Agosto!$S$8/Agosto!$D$34)*$E$29)</f>
        <v/>
      </c>
      <c r="M38" s="183" t="str">
        <f>IF(Setembro!$D$34=0,"",(Setembro!$S$8/Setembro!$D$34)*$E$29)</f>
        <v/>
      </c>
      <c r="N38" s="183" t="str">
        <f>IF(Outubro!$D$34=0,"",(Outubro!$S$8/Outubro!$D$34)*$E$29)</f>
        <v/>
      </c>
      <c r="O38" s="183" t="str">
        <f>IF(Novembro!$D$34=0,"",(Novembro!$S$8/Novembro!$D$34)*$E$29)</f>
        <v/>
      </c>
      <c r="P38" s="183" t="str">
        <f>IF(Dezembro!$D$34=0,"",(Dezembro!$S$8/Dezembro!$D$34)*$E$29)</f>
        <v/>
      </c>
      <c r="Q38" s="58"/>
      <c r="R38" s="248"/>
      <c r="S38" s="551">
        <f>IF($AB$32=$E$9,((Janeiro!D29*Janeiro!E29)+(Janeiro!D30*Janeiro!E30)+(Janeiro!D31*Janeiro!E31)+(Janeiro!E32*Janeiro!F32)+Janeiro!D33*Janeiro!E33)/(SUM(Janeiro!D29:D33)),IF($AB$32=$F$9,((Fevereiro!D29*Fevereiro!E29)+(Fevereiro!D30*Fevereiro!E30)+(Fevereiro!D31*Fevereiro!E31)+(Fevereiro!E32*Fevereiro!F32)+Fevereiro!D33*Fevereiro!E33)/(SUM(Fevereiro!D29:D33)),IF($AB$32=$G$9,((Março!D29*Março!E29)+(Março!D30*Março!E30)+(Março!D31*Março!E31)+(Março!E32*Março!F32)+Março!D33*Março!E33)/(SUM(Março!D29:D33)),IF($AB$32=$H$9,((Abril!D29*Abril!E29)+(Abril!D30*Abril!E30)+(Abril!D31*Abril!E31)+(Abril!E32*Abril!F32)+Abril!D33*Abril!E33)/(SUM(Abril!D29:D33)),IF($AB$32=$I$9,((Maio!D29*Maio!E29)+(Maio!D30*Maio!E30)+(Maio!D31*Maio!E31)+(Maio!E32*Maio!F32)+Maio!D33*Maio!E33)/(SUM(Maio!D29:D33)),IF($AB$32=$J$9,((Junho!D29*Junho!E29)+(Junho!D30*Junho!E30)+(Junho!D31*Junho!E31)+(Junho!E32*Junho!F32)+Junho!D33*Junho!E33)/(SUM(Junho!D29:D33)),IF($AB$32=$K$9,((Julho!D29*Julho!E29)+(Julho!D30*Julho!E30)+(Julho!D31*Julho!E31)+(Julho!E32*Julho!F32)+Julho!D33*Julho!E33)/(SUM(Julho!D29:D33)),IF($AB$32=$L$9,((Agosto!D29*Agosto!E29)+(Agosto!D30*Agosto!E30)+(Agosto!D31*Agosto!E31)+(Agosto!E32*Agosto!F32)+Agosto!D33*Agosto!E33)/(SUM(Agosto!D29:D33)),IF($AB$32=$M$9,((Setembro!D29*Setembro!E29)+(Setembro!D30*Setembro!E30)+(Setembro!D31*Setembro!E31)+(Setembro!E32*Setembro!F32)+Setembro!D33*Setembro!E33)/(SUM(Setembro!D29:D33)),IF($AB$32=$N$9,((Outubro!D29*Outubro!E29)+(Outubro!D30*Outubro!E30)+(Outubro!D31*Outubro!E31)+(Outubro!E32*Outubro!F32)+Outubro!D33*Outubro!E33)/(SUM(Outubro!D29:D33)),IF($AB$32=$O$9,((Novembro!D29*Novembro!E29)+(Novembro!D30*Novembro!E30)+(Novembro!D31*Novembro!E31)+(Novembro!E32*Novembro!F32)+Novembro!D33*Novembro!E33)/(SUM(Novembro!D29:D33)),IF($AB$32=$P$9,((Dezembro!D29*Dezembro!E29)+(Dezembro!D30*Dezembro!E30)+(Dezembro!D31*Dezembro!E31)+(Dezembro!E32*Dezembro!F32)+Dezembro!D33*Dezembro!E33)/(SUM(Dezembro!D29:D33)),""))))))))))))</f>
        <v>2.0499999999999998</v>
      </c>
      <c r="T38" s="552"/>
      <c r="U38" s="249"/>
      <c r="V38" s="58"/>
      <c r="W38" s="371"/>
      <c r="X38" s="371"/>
      <c r="Y38" s="371"/>
      <c r="Z38" s="371"/>
      <c r="AA38" s="371"/>
      <c r="AB38" s="371"/>
      <c r="AC38" s="371"/>
      <c r="AD38" s="370"/>
      <c r="AE38" s="370"/>
      <c r="AF38" s="58"/>
      <c r="AG38" s="59"/>
    </row>
    <row r="39" spans="2:33" ht="15.75" customHeight="1" thickBot="1" x14ac:dyDescent="0.3">
      <c r="B39" s="56"/>
      <c r="C39" s="578" t="s">
        <v>213</v>
      </c>
      <c r="D39" s="579"/>
      <c r="E39" s="183">
        <f>IF(Janeiro!$D$34=0,"",(Janeiro!$S$18/Janeiro!$D$34)*$E$29)</f>
        <v>0</v>
      </c>
      <c r="F39" s="382" t="str">
        <f>IF(Fevereiro!$D$34=0,"",(Fevereiro!$S$18/Fevereiro!$D$34)*$E$29)</f>
        <v/>
      </c>
      <c r="G39" s="183" t="str">
        <f>IF(Março!$D$34=0,"",(Março!$S$18/Março!$D$34)*$E$29)</f>
        <v/>
      </c>
      <c r="H39" s="183" t="str">
        <f>IF(Abril!$D$34=0,"",(Abril!$S$18/Abril!$D$34)*$E$29)</f>
        <v/>
      </c>
      <c r="I39" s="183" t="str">
        <f>IF(Maio!$D$34=0,"",(Maio!$S$18/Maio!$D$34)*$E$29)</f>
        <v/>
      </c>
      <c r="J39" s="183" t="str">
        <f>IF(Junho!$D$34=0,"",(Junho!$S$18/Junho!$D$34)*$E$29)</f>
        <v/>
      </c>
      <c r="K39" s="183" t="str">
        <f>IF(Julho!$D$34=0,"",(Julho!$S$18/Julho!$D$34)*$E$29)</f>
        <v/>
      </c>
      <c r="L39" s="183" t="str">
        <f>IF(Agosto!$D$34=0,"",(Agosto!$S$18/Agosto!$D$34)*$E$29)</f>
        <v/>
      </c>
      <c r="M39" s="183" t="str">
        <f>IF(Setembro!$D$34=0,"",(Setembro!$S$18/Setembro!$D$34)*$E$29)</f>
        <v/>
      </c>
      <c r="N39" s="183" t="str">
        <f>IF(Outubro!$D$34=0,"",(Outubro!$S$18/Outubro!$D$34)*$E$29)</f>
        <v/>
      </c>
      <c r="O39" s="183" t="str">
        <f>IF(Novembro!$D$34=0,"",(Novembro!$S$18/Novembro!$D$34)*$E$29)</f>
        <v/>
      </c>
      <c r="P39" s="183" t="str">
        <f>IF(Dezembro!$D$34=0,"",(Dezembro!$S$18/Dezembro!$D$34)*$E$29)</f>
        <v/>
      </c>
      <c r="Q39" s="58"/>
      <c r="R39" s="248"/>
      <c r="S39" s="553"/>
      <c r="T39" s="554"/>
      <c r="U39" s="249"/>
      <c r="V39" s="58"/>
      <c r="W39" s="371"/>
      <c r="X39" s="371"/>
      <c r="Y39" s="372"/>
      <c r="Z39" s="372"/>
      <c r="AA39" s="373" t="s">
        <v>503</v>
      </c>
      <c r="AB39" s="374" t="str">
        <f>AB32</f>
        <v>Janeiro</v>
      </c>
      <c r="AC39" s="371"/>
      <c r="AD39" s="370"/>
      <c r="AE39" s="370"/>
      <c r="AF39" s="58"/>
      <c r="AG39" s="59"/>
    </row>
    <row r="40" spans="2:33" ht="15.75" thickBot="1" x14ac:dyDescent="0.3">
      <c r="B40" s="56"/>
      <c r="C40" s="578" t="s">
        <v>214</v>
      </c>
      <c r="D40" s="579"/>
      <c r="E40" s="183">
        <f>IF(Janeiro!$D$34=0,"",(Janeiro!$S$9/Janeiro!$D$34)*$E$29)</f>
        <v>4.2008196721311477E-4</v>
      </c>
      <c r="F40" s="382" t="str">
        <f>IF(Fevereiro!$D$34=0,"",(Fevereiro!$S$9/Fevereiro!$D$34)*$E$29)</f>
        <v/>
      </c>
      <c r="G40" s="183" t="str">
        <f>IF(Março!$D$34=0,"",(Março!$S$9/Março!$D$34)*$E$29)</f>
        <v/>
      </c>
      <c r="H40" s="183" t="str">
        <f>IF(Abril!$D$34=0,"",(Abril!$S$9/Abril!$D$34)*$E$29)</f>
        <v/>
      </c>
      <c r="I40" s="183" t="str">
        <f>IF(Maio!$D$34=0,"",(Maio!$S$9/Maio!$D$34)*$E$29)</f>
        <v/>
      </c>
      <c r="J40" s="183" t="str">
        <f>IF(Junho!$D$34=0,"",(Junho!$S$9/Junho!$D$34)*$E$29)</f>
        <v/>
      </c>
      <c r="K40" s="183" t="str">
        <f>IF(Julho!$D$34=0,"",(Julho!$S$9/Julho!$D$34)*$E$29)</f>
        <v/>
      </c>
      <c r="L40" s="183" t="str">
        <f>IF(Agosto!$D$34=0,"",(Agosto!$S$9/Agosto!$D$34)*$E$29)</f>
        <v/>
      </c>
      <c r="M40" s="183" t="str">
        <f>IF(Setembro!$D$34=0,"",(Setembro!$S$9/Setembro!$D$34)*$E$29)</f>
        <v/>
      </c>
      <c r="N40" s="183" t="str">
        <f>IF(Outubro!$D$34=0,"",(Outubro!$S$9/Outubro!$D$34)*$E$29)</f>
        <v/>
      </c>
      <c r="O40" s="183" t="str">
        <f>IF(Novembro!$D$34=0,"",(Novembro!$S$9/Novembro!$D$34)*$E$29)</f>
        <v/>
      </c>
      <c r="P40" s="183" t="str">
        <f>IF(Dezembro!$D$34=0,"",(Dezembro!$S$9/Dezembro!$D$34)*$E$29)</f>
        <v/>
      </c>
      <c r="Q40" s="58"/>
      <c r="R40" s="186"/>
      <c r="S40" s="117"/>
      <c r="T40" s="117"/>
      <c r="U40" s="184"/>
      <c r="V40" s="58"/>
      <c r="W40" s="371"/>
      <c r="X40" s="371"/>
      <c r="Y40" s="371"/>
      <c r="Z40" s="371"/>
      <c r="AA40" s="373" t="s">
        <v>211</v>
      </c>
      <c r="AB40" s="375">
        <f>IF($AB$32=$E$9,E10,IF($AB$32=$F$9,F10,IF($AB$32=$G$9,G10,IF($AB$32=$H$9,H10,IF($AB$32=$I$9,I10,IF($AB$32=$J$9,J10,IF($AB$32=$K$9,K10,IF($AB$32=$L$9,L10,IF($AB$32=$M$9,M10,IF($AB$32=$N$9,N10,IF($AB$32=$O$9,O10,IF($AB$32=$P$9,P10,""))))))))))))/-IF($AB$32=$E$9,$E$25,IF($AB$32=$F$9,$F$25,IF($AB$32=$G$9,$G$25,IF($AB$32=$H$9,$H$25,IF($AB$32=$I$9,$I$25,IF($AB$32=$J$9,$J$25,IF($AB$32=$K$9,$K$25,IF($AB$32=$L$9,$L$25,IF($AB$32=$M$9,$M$25,IF($AB$32=$N$9,$N$25,IF($AB$32=$O$9,$O$25,IF($AB$32=$P$9,$P$25,""))))))))))))</f>
        <v>3.8602586373287014E-2</v>
      </c>
      <c r="AC40" s="371"/>
      <c r="AD40" s="370"/>
      <c r="AE40" s="370"/>
      <c r="AF40" s="58"/>
      <c r="AG40" s="59"/>
    </row>
    <row r="41" spans="2:33" ht="15" customHeight="1" x14ac:dyDescent="0.25">
      <c r="B41" s="56"/>
      <c r="C41" s="578" t="s">
        <v>215</v>
      </c>
      <c r="D41" s="579"/>
      <c r="E41" s="254">
        <f>IF(Janeiro!$D$34=0,"",(Janeiro!$S$10/Janeiro!$D$34)*$E$29)</f>
        <v>5.040983606557377E-3</v>
      </c>
      <c r="F41" s="382" t="str">
        <f>IF(Fevereiro!$D$34=0,"",(Fevereiro!$S$10/Fevereiro!$D$34)*$E$29)</f>
        <v/>
      </c>
      <c r="G41" s="254" t="str">
        <f>IF(Março!$D$34=0,"",(Março!$S$10/Março!$D$34)*$E$29)</f>
        <v/>
      </c>
      <c r="H41" s="254" t="str">
        <f>IF(Abril!$D$34=0,"",(Abril!$S$10/Abril!$D$34)*$E$29)</f>
        <v/>
      </c>
      <c r="I41" s="254" t="str">
        <f>IF(Maio!$D$34=0,"",(Maio!$S$10/Maio!$D$34)*$E$29)</f>
        <v/>
      </c>
      <c r="J41" s="254" t="str">
        <f>IF(Junho!$D$34=0,"",(Junho!$S$10/Junho!$D$34)*$E$29)</f>
        <v/>
      </c>
      <c r="K41" s="254" t="str">
        <f>IF(Julho!$D$34=0,"",(Julho!$S$10/Julho!$D$34)*$E$29)</f>
        <v/>
      </c>
      <c r="L41" s="254" t="str">
        <f>IF(Agosto!$D$34=0,"",(Agosto!$S$10/Agosto!$D$34)*$E$29)</f>
        <v/>
      </c>
      <c r="M41" s="254" t="str">
        <f>IF(Setembro!$D$34=0,"",(Setembro!$S$10/Setembro!$D$34)*$E$29)</f>
        <v/>
      </c>
      <c r="N41" s="254" t="str">
        <f>IF(Outubro!$D$34=0,"",(Outubro!$S$10/Outubro!$D$34)*$E$29)</f>
        <v/>
      </c>
      <c r="O41" s="254" t="str">
        <f>IF(Novembro!$D$34=0,"",(Novembro!$S$10/Novembro!$D$34)*$E$29)</f>
        <v/>
      </c>
      <c r="P41" s="254" t="str">
        <f>IF(Dezembro!$D$34=0,"",(Dezembro!$S$10/Dezembro!$D$34)*$E$29)</f>
        <v/>
      </c>
      <c r="Q41" s="58"/>
      <c r="R41" s="186"/>
      <c r="S41" s="547" t="s">
        <v>508</v>
      </c>
      <c r="T41" s="548"/>
      <c r="U41" s="184"/>
      <c r="V41" s="58"/>
      <c r="W41" s="371"/>
      <c r="X41" s="371"/>
      <c r="Y41" s="372"/>
      <c r="Z41" s="372"/>
      <c r="AA41" s="373" t="s">
        <v>212</v>
      </c>
      <c r="AB41" s="375">
        <f t="shared" ref="AB41:AB53" si="4">IF($AB$32=$E$9,E11,IF($AB$32=$F$9,F11,IF($AB$32=$G$9,G11,IF($AB$32=$H$9,H11,IF($AB$32=$I$9,I11,IF($AB$32=$J$9,J11,IF($AB$32=$K$9,K11,IF($AB$32=$L$9,L11,IF($AB$32=$M$9,M11,IF($AB$32=$N$9,N11,IF($AB$32=$O$9,O11,IF($AB$32=$P$9,P11,""))))))))))))/-$E$25</f>
        <v>0.28951939779965258</v>
      </c>
      <c r="AC41" s="371"/>
      <c r="AD41" s="370"/>
      <c r="AE41" s="370"/>
      <c r="AF41" s="58"/>
      <c r="AG41" s="59"/>
    </row>
    <row r="42" spans="2:33" ht="15.75" customHeight="1" thickBot="1" x14ac:dyDescent="0.3">
      <c r="B42" s="56"/>
      <c r="C42" s="578" t="s">
        <v>216</v>
      </c>
      <c r="D42" s="579"/>
      <c r="E42" s="183">
        <f>IF(Janeiro!$D$34=0,"",(Janeiro!$S$11/Janeiro!$D$34)*$E$29)</f>
        <v>5.167008196721311E-3</v>
      </c>
      <c r="F42" s="382" t="str">
        <f>IF(Fevereiro!$D$34=0,"",(Fevereiro!$S$11/Fevereiro!$D$34)*$E$29)</f>
        <v/>
      </c>
      <c r="G42" s="183" t="str">
        <f>IF(Março!$D$34=0,"",(Março!$S$11/Março!$D$34)*$E$29)</f>
        <v/>
      </c>
      <c r="H42" s="183" t="str">
        <f>IF(Abril!$D$34=0,"",(Abril!$S$11/Abril!$D$34)*$E$29)</f>
        <v/>
      </c>
      <c r="I42" s="183" t="str">
        <f>IF(Maio!$D$34=0,"",(Maio!$S$11/Maio!$D$34)*$E$29)</f>
        <v/>
      </c>
      <c r="J42" s="183" t="str">
        <f>IF(Junho!$D$34=0,"",(Junho!$S$11/Junho!$D$34)*$E$29)</f>
        <v/>
      </c>
      <c r="K42" s="183" t="str">
        <f>IF(Julho!$D$34=0,"",(Julho!$S$11/Julho!$D$34)*$E$29)</f>
        <v/>
      </c>
      <c r="L42" s="183" t="str">
        <f>IF(Agosto!$D$34=0,"",(Agosto!$S$11/Agosto!$D$34)*$E$29)</f>
        <v/>
      </c>
      <c r="M42" s="183" t="str">
        <f>IF(Setembro!$D$34=0,"",(Setembro!$S$11/Setembro!$D$34)*$E$29)</f>
        <v/>
      </c>
      <c r="N42" s="183" t="str">
        <f>IF(Outubro!$D$34=0,"",(Outubro!$S$11/Outubro!$D$34)*$E$29)</f>
        <v/>
      </c>
      <c r="O42" s="183" t="str">
        <f>IF(Novembro!$D$34=0,"",(Novembro!$S$11/Novembro!$D$34)*$E$29)</f>
        <v/>
      </c>
      <c r="P42" s="183" t="str">
        <f>IF(Dezembro!$D$34=0,"",(Dezembro!$S$11/Dezembro!$D$34)*$E$29)</f>
        <v/>
      </c>
      <c r="Q42" s="58"/>
      <c r="R42" s="186"/>
      <c r="S42" s="549"/>
      <c r="T42" s="550"/>
      <c r="U42" s="184"/>
      <c r="V42" s="58"/>
      <c r="W42" s="371"/>
      <c r="X42" s="371"/>
      <c r="Y42" s="372"/>
      <c r="Z42" s="372"/>
      <c r="AA42" s="373" t="s">
        <v>9</v>
      </c>
      <c r="AB42" s="375">
        <f t="shared" si="4"/>
        <v>9.6506465933217531E-2</v>
      </c>
      <c r="AC42" s="371"/>
      <c r="AD42" s="370"/>
      <c r="AE42" s="370"/>
      <c r="AF42" s="58"/>
      <c r="AG42" s="59"/>
    </row>
    <row r="43" spans="2:33" ht="15" customHeight="1" x14ac:dyDescent="0.25">
      <c r="B43" s="56"/>
      <c r="C43" s="578" t="s">
        <v>218</v>
      </c>
      <c r="D43" s="579"/>
      <c r="E43" s="183">
        <f>IF(Janeiro!$D$34=0,"",(Janeiro!$S$12/Janeiro!$D$34)*$E$29)</f>
        <v>0</v>
      </c>
      <c r="F43" s="382" t="str">
        <f>IF(Fevereiro!$D$34=0,"",(Fevereiro!$S$12/Fevereiro!$D$34)*$E$29)</f>
        <v/>
      </c>
      <c r="G43" s="183" t="str">
        <f>IF(Março!$D$34=0,"",(Março!$S$12/Março!$D$34)*$E$29)</f>
        <v/>
      </c>
      <c r="H43" s="183" t="str">
        <f>IF(Abril!$D$34=0,"",(Abril!$S$12/Abril!$D$34)*$E$29)</f>
        <v/>
      </c>
      <c r="I43" s="183" t="str">
        <f>IF(Maio!$D$34=0,"",(Maio!$S$12/Maio!$D$34)*$E$29)</f>
        <v/>
      </c>
      <c r="J43" s="183" t="str">
        <f>IF(Junho!$D$34=0,"",(Junho!$S$12/Junho!$D$34)*$E$29)</f>
        <v/>
      </c>
      <c r="K43" s="183" t="str">
        <f>IF(Julho!$D$34=0,"",(Julho!$S$12/Julho!$D$34)*$E$29)</f>
        <v/>
      </c>
      <c r="L43" s="183" t="str">
        <f>IF(Agosto!$D$34=0,"",(Agosto!$S$12/Agosto!$D$34)*$E$29)</f>
        <v/>
      </c>
      <c r="M43" s="183" t="str">
        <f>IF(Setembro!$D$34=0,"",(Setembro!$S$12/Setembro!$D$34)*$E$29)</f>
        <v/>
      </c>
      <c r="N43" s="183" t="str">
        <f>IF(Outubro!$D$34=0,"",(Outubro!$S$12/Outubro!$D$34)*$E$29)</f>
        <v/>
      </c>
      <c r="O43" s="183" t="str">
        <f>IF(Novembro!$D$34=0,"",(Novembro!$S$12/Novembro!$D$34)*$E$29)</f>
        <v/>
      </c>
      <c r="P43" s="183" t="str">
        <f>IF(Dezembro!$D$34=0,"",(Dezembro!$S$12/Dezembro!$D$34)*$E$29)</f>
        <v/>
      </c>
      <c r="Q43" s="58"/>
      <c r="R43" s="186"/>
      <c r="S43" s="555">
        <f>IF($AB$32=$E$9,E59,IF($AB$32=$F$9,F59,IF($AB$32=$G$9,G59,IF($AB$32=$H$9,H59,IF($AB$32=$I$9,I59,IF($AB$32=$J$9,J59,IF($AB$32=$K$9,K59,IF($AB$32=$L$9,L59,IF($AB$32=$M$9,M59,IF($AB$32=$N$9,N59,IF($AB$32=$O$9,O59,IF($AB$32=$P$9,P59,""))))))))))))</f>
        <v>1.8424120376150628</v>
      </c>
      <c r="T43" s="556"/>
      <c r="U43" s="184"/>
      <c r="V43" s="58"/>
      <c r="W43" s="371"/>
      <c r="X43" s="371"/>
      <c r="Y43" s="372"/>
      <c r="Z43" s="372"/>
      <c r="AA43" s="373" t="s">
        <v>26</v>
      </c>
      <c r="AB43" s="375">
        <f t="shared" si="4"/>
        <v>9.6506465933217531E-2</v>
      </c>
      <c r="AC43" s="371"/>
      <c r="AD43" s="370"/>
      <c r="AE43" s="370"/>
      <c r="AF43" s="58"/>
      <c r="AG43" s="59"/>
    </row>
    <row r="44" spans="2:33" ht="15.75" customHeight="1" thickBot="1" x14ac:dyDescent="0.3">
      <c r="B44" s="56"/>
      <c r="C44" s="578" t="s">
        <v>15</v>
      </c>
      <c r="D44" s="579"/>
      <c r="E44" s="183">
        <f>IF(Janeiro!$D$34=0,"",(Janeiro!$S$13/Janeiro!$D$34)*$E$29)</f>
        <v>1.0502049180327868E-2</v>
      </c>
      <c r="F44" s="382" t="str">
        <f>IF(Fevereiro!$D$34=0,"",(Fevereiro!$S$13/Fevereiro!$D$34)*$E$29)</f>
        <v/>
      </c>
      <c r="G44" s="183" t="str">
        <f>IF(Março!$D$34=0,"",(Março!$S$13/Março!$D$34)*$E$29)</f>
        <v/>
      </c>
      <c r="H44" s="183" t="str">
        <f>IF(Abril!$D$34=0,"",(Abril!$S$13/Abril!$D$34)*$E$29)</f>
        <v/>
      </c>
      <c r="I44" s="183" t="str">
        <f>IF(Maio!$D$34=0,"",(Maio!$S$13/Maio!$D$34)*$E$29)</f>
        <v/>
      </c>
      <c r="J44" s="183" t="str">
        <f>IF(Junho!$D$34=0,"",(Junho!$S$13/Junho!$D$34)*$E$29)</f>
        <v/>
      </c>
      <c r="K44" s="183" t="str">
        <f>IF(Julho!$D$34=0,"",(Julho!$S$13/Julho!$D$34)*$E$29)</f>
        <v/>
      </c>
      <c r="L44" s="183" t="str">
        <f>IF(Agosto!$D$34=0,"",(Agosto!$S$13/Agosto!$D$34)*$E$29)</f>
        <v/>
      </c>
      <c r="M44" s="183" t="str">
        <f>IF(Setembro!$D$34=0,"",(Setembro!$S$13/Setembro!$D$34)*$E$29)</f>
        <v/>
      </c>
      <c r="N44" s="183" t="str">
        <f>IF(Outubro!$D$34=0,"",(Outubro!$S$13/Outubro!$D$34)*$E$29)</f>
        <v/>
      </c>
      <c r="O44" s="183" t="str">
        <f>IF(Novembro!$D$34=0,"",(Novembro!$S$13/Novembro!$D$34)*$E$29)</f>
        <v/>
      </c>
      <c r="P44" s="183" t="str">
        <f>IF(Dezembro!$D$34=0,"",(Dezembro!$S$13/Dezembro!$D$34)*$E$29)</f>
        <v/>
      </c>
      <c r="Q44" s="58"/>
      <c r="R44" s="186"/>
      <c r="S44" s="557"/>
      <c r="T44" s="558"/>
      <c r="U44" s="184"/>
      <c r="V44" s="58"/>
      <c r="W44" s="371"/>
      <c r="X44" s="371"/>
      <c r="Y44" s="372"/>
      <c r="Z44" s="372"/>
      <c r="AA44" s="373" t="s">
        <v>213</v>
      </c>
      <c r="AB44" s="375">
        <f t="shared" si="4"/>
        <v>0</v>
      </c>
      <c r="AC44" s="371"/>
      <c r="AD44" s="370"/>
      <c r="AE44" s="370"/>
      <c r="AF44" s="58"/>
      <c r="AG44" s="59"/>
    </row>
    <row r="45" spans="2:33" ht="15.75" thickBot="1" x14ac:dyDescent="0.3">
      <c r="B45" s="56"/>
      <c r="C45" s="578" t="s">
        <v>311</v>
      </c>
      <c r="D45" s="579"/>
      <c r="E45" s="183">
        <f>IF(Janeiro!$D$34=0,"",(Janeiro!$S$14/Janeiro!$D$34)*$E$29)</f>
        <v>0</v>
      </c>
      <c r="F45" s="382" t="str">
        <f>IF(Fevereiro!$D$34=0,"",(Fevereiro!$S$14/Fevereiro!$D$34)*$E$29)</f>
        <v/>
      </c>
      <c r="G45" s="183" t="str">
        <f>IF(Março!$D$34=0,"",(Março!$S$14/Março!$D$34)*$E$29)</f>
        <v/>
      </c>
      <c r="H45" s="183" t="str">
        <f>IF(Abril!$D$34=0,"",(Abril!$S$14/Abril!$D$34)*$E$29)</f>
        <v/>
      </c>
      <c r="I45" s="183" t="str">
        <f>IF(Maio!$D$34=0,"",(Maio!$S$14/Maio!$D$34)*$E$29)</f>
        <v/>
      </c>
      <c r="J45" s="183" t="str">
        <f>IF(Junho!$D$34=0,"",(Junho!$S$14/Junho!$D$34)*$E$29)</f>
        <v/>
      </c>
      <c r="K45" s="183" t="str">
        <f>IF(Julho!$D$34=0,"",(Julho!$S$14/Julho!$D$34)*$E$29)</f>
        <v/>
      </c>
      <c r="L45" s="183" t="str">
        <f>IF(Agosto!$D$34=0,"",(Agosto!$S$14/Agosto!$D$34)*$E$29)</f>
        <v/>
      </c>
      <c r="M45" s="183" t="str">
        <f>IF(Setembro!$D$34=0,"",(Setembro!$S$14/Setembro!$D$34)*$E$29)</f>
        <v/>
      </c>
      <c r="N45" s="183" t="str">
        <f>IF(Outubro!$D$34=0,"",(Outubro!$S$14/Outubro!$D$34)*$E$29)</f>
        <v/>
      </c>
      <c r="O45" s="183" t="str">
        <f>IF(Novembro!$D$34=0,"",(Novembro!$S$14/Novembro!$D$34)*$E$29)</f>
        <v/>
      </c>
      <c r="P45" s="183" t="str">
        <f>IF(Dezembro!$D$34=0,"",(Dezembro!$S$14/Dezembro!$D$34)*$E$29)</f>
        <v/>
      </c>
      <c r="Q45" s="58"/>
      <c r="R45" s="186"/>
      <c r="S45" s="117"/>
      <c r="T45" s="117"/>
      <c r="U45" s="184"/>
      <c r="V45" s="58"/>
      <c r="W45" s="371"/>
      <c r="X45" s="371"/>
      <c r="Y45" s="371"/>
      <c r="Z45" s="371"/>
      <c r="AA45" s="373" t="s">
        <v>214</v>
      </c>
      <c r="AB45" s="375">
        <f t="shared" si="4"/>
        <v>1.9301293186643506E-3</v>
      </c>
      <c r="AC45" s="371"/>
      <c r="AD45" s="370"/>
      <c r="AE45" s="370"/>
      <c r="AF45" s="58"/>
      <c r="AG45" s="59"/>
    </row>
    <row r="46" spans="2:33" ht="15" customHeight="1" x14ac:dyDescent="0.25">
      <c r="B46" s="56"/>
      <c r="C46" s="578" t="s">
        <v>312</v>
      </c>
      <c r="D46" s="579"/>
      <c r="E46" s="183">
        <f>IF(Janeiro!$D$34=0,"",(Janeiro!$S$15/Janeiro!$D$34)*$E$29)</f>
        <v>2.1844262295081965E-3</v>
      </c>
      <c r="F46" s="382" t="str">
        <f>IF(Fevereiro!$D$34=0,"",(Fevereiro!$S$15/Fevereiro!$D$34)*$E$29)</f>
        <v/>
      </c>
      <c r="G46" s="183" t="str">
        <f>IF(Março!$D$34=0,"",(Março!$S$15/Março!$D$34)*$E$29)</f>
        <v/>
      </c>
      <c r="H46" s="183" t="str">
        <f>IF(Abril!$D$34=0,"",(Abril!$S$15/Abril!$D$34)*$E$29)</f>
        <v/>
      </c>
      <c r="I46" s="183" t="str">
        <f>IF(Maio!$D$34=0,"",(Maio!$S$15/Maio!$D$34)*$E$29)</f>
        <v/>
      </c>
      <c r="J46" s="183" t="str">
        <f>IF(Junho!$D$34=0,"",(Junho!$S$15/Junho!$D$34)*$E$29)</f>
        <v/>
      </c>
      <c r="K46" s="183" t="str">
        <f>IF(Julho!$D$34=0,"",(Julho!$S$15/Julho!$D$34)*$E$29)</f>
        <v/>
      </c>
      <c r="L46" s="183" t="str">
        <f>IF(Agosto!$D$34=0,"",(Agosto!$S$15/Agosto!$D$34)*$E$29)</f>
        <v/>
      </c>
      <c r="M46" s="183" t="str">
        <f>IF(Setembro!$D$34=0,"",(Setembro!$S$15/Setembro!$D$34)*$E$29)</f>
        <v/>
      </c>
      <c r="N46" s="183" t="str">
        <f>IF(Outubro!$D$34=0,"",(Outubro!$S$15/Outubro!$D$34)*$E$29)</f>
        <v/>
      </c>
      <c r="O46" s="183" t="str">
        <f>IF(Novembro!$D$34=0,"",(Novembro!$S$15/Novembro!$D$34)*$E$29)</f>
        <v/>
      </c>
      <c r="P46" s="183" t="str">
        <f>IF(Dezembro!$D$34=0,"",(Dezembro!$S$15/Dezembro!$D$34)*$E$29)</f>
        <v/>
      </c>
      <c r="Q46" s="58"/>
      <c r="R46" s="186"/>
      <c r="S46" s="547" t="s">
        <v>510</v>
      </c>
      <c r="T46" s="548"/>
      <c r="U46" s="184"/>
      <c r="V46" s="58"/>
      <c r="W46" s="371"/>
      <c r="X46" s="371"/>
      <c r="Y46" s="371"/>
      <c r="Z46" s="371"/>
      <c r="AA46" s="373" t="s">
        <v>215</v>
      </c>
      <c r="AB46" s="375">
        <f t="shared" si="4"/>
        <v>2.3161551823972205E-2</v>
      </c>
      <c r="AC46" s="371"/>
      <c r="AD46" s="370"/>
      <c r="AE46" s="370"/>
      <c r="AF46" s="58"/>
      <c r="AG46" s="59"/>
    </row>
    <row r="47" spans="2:33" ht="15.75" customHeight="1" thickBot="1" x14ac:dyDescent="0.3">
      <c r="B47" s="56"/>
      <c r="C47" s="597" t="s">
        <v>217</v>
      </c>
      <c r="D47" s="598"/>
      <c r="E47" s="183">
        <f>IF(Janeiro!$D$34=0,"",(Janeiro!$V$39/Janeiro!$D$34)*$E$29)</f>
        <v>1.7895491803278686E-2</v>
      </c>
      <c r="F47" s="382" t="str">
        <f>IF(Fevereiro!$D$34=0,"",(Fevereiro!$V$39/Fevereiro!$D$34)*$E$29)</f>
        <v/>
      </c>
      <c r="G47" s="183" t="str">
        <f>IF(Março!$D$34=0,"",(Março!$V$39/Março!$D$34)*$E$29)</f>
        <v/>
      </c>
      <c r="H47" s="183" t="str">
        <f>IF(Abril!$D$34=0,"",(Abril!$V$39/Abril!$D$34)*$E$29)</f>
        <v/>
      </c>
      <c r="I47" s="183" t="str">
        <f>IF(Maio!$D$34=0,"",(Maio!$V$39/Maio!$D$34)*$E$29)</f>
        <v/>
      </c>
      <c r="J47" s="183" t="str">
        <f>IF(Junho!$D$34=0,"",(Junho!$V$39/Junho!$D$34)*$E$29)</f>
        <v/>
      </c>
      <c r="K47" s="183" t="str">
        <f>IF(Julho!$D$34=0,"",(Julho!$V$39/Julho!$D$34)*$E$29)</f>
        <v/>
      </c>
      <c r="L47" s="183" t="str">
        <f>IF(Agosto!$D$34=0,"",(Agosto!$V$39/Agosto!$D$34)*$E$29)</f>
        <v/>
      </c>
      <c r="M47" s="183" t="str">
        <f>IF(Setembro!$D$34=0,"",(Setembro!$V$39/Setembro!$D$34)*$E$29)</f>
        <v/>
      </c>
      <c r="N47" s="183" t="str">
        <f>IF(Outubro!$D$34=0,"",(Outubro!$V$39/Outubro!$D$34)*$E$29)</f>
        <v/>
      </c>
      <c r="O47" s="183" t="str">
        <f>IF(Novembro!$D$34=0,"",(Novembro!$V$39/Novembro!$D$34)*$E$29)</f>
        <v/>
      </c>
      <c r="P47" s="183" t="str">
        <f>IF(Dezembro!$D$34=0,"",(Dezembro!$V$39/Dezembro!$D$34)*$E$29)</f>
        <v/>
      </c>
      <c r="Q47" s="58"/>
      <c r="R47" s="186"/>
      <c r="S47" s="549"/>
      <c r="T47" s="550"/>
      <c r="U47" s="184"/>
      <c r="V47" s="58"/>
      <c r="W47" s="371"/>
      <c r="X47" s="371"/>
      <c r="Y47" s="371"/>
      <c r="Z47" s="371"/>
      <c r="AA47" s="373" t="s">
        <v>216</v>
      </c>
      <c r="AB47" s="375">
        <f t="shared" si="4"/>
        <v>2.3740590619571511E-2</v>
      </c>
      <c r="AC47" s="371"/>
      <c r="AD47" s="370"/>
      <c r="AE47" s="370"/>
      <c r="AF47" s="58"/>
      <c r="AG47" s="59"/>
    </row>
    <row r="48" spans="2:33" ht="15.75" customHeight="1" thickBot="1" x14ac:dyDescent="0.3">
      <c r="B48" s="56"/>
      <c r="C48" s="568" t="s">
        <v>334</v>
      </c>
      <c r="D48" s="569"/>
      <c r="E48" s="252">
        <f>SUM(E34,E40,E41,E42,E43,E44,E45,E46,E47)</f>
        <v>0.15463217213114755</v>
      </c>
      <c r="F48" s="252">
        <f t="shared" ref="F48:P48" si="5">SUM(F34,F40,F41,F42,F43,F44,F45,F46,F47)</f>
        <v>0</v>
      </c>
      <c r="G48" s="252">
        <f t="shared" si="5"/>
        <v>0</v>
      </c>
      <c r="H48" s="252">
        <f t="shared" si="5"/>
        <v>0</v>
      </c>
      <c r="I48" s="252">
        <f t="shared" si="5"/>
        <v>0</v>
      </c>
      <c r="J48" s="252">
        <f t="shared" si="5"/>
        <v>0</v>
      </c>
      <c r="K48" s="252">
        <f t="shared" si="5"/>
        <v>0</v>
      </c>
      <c r="L48" s="252">
        <f t="shared" si="5"/>
        <v>0</v>
      </c>
      <c r="M48" s="252">
        <f t="shared" si="5"/>
        <v>0</v>
      </c>
      <c r="N48" s="252">
        <f t="shared" si="5"/>
        <v>0</v>
      </c>
      <c r="O48" s="252">
        <f t="shared" si="5"/>
        <v>0</v>
      </c>
      <c r="P48" s="252">
        <f t="shared" si="5"/>
        <v>0</v>
      </c>
      <c r="Q48" s="58"/>
      <c r="R48" s="186"/>
      <c r="S48" s="555">
        <f>S38-S43</f>
        <v>0.20758796238493704</v>
      </c>
      <c r="T48" s="556"/>
      <c r="U48" s="184"/>
      <c r="V48" s="58"/>
      <c r="W48" s="371"/>
      <c r="X48" s="371"/>
      <c r="Y48" s="371"/>
      <c r="Z48" s="371"/>
      <c r="AA48" s="373" t="s">
        <v>218</v>
      </c>
      <c r="AB48" s="375">
        <f t="shared" si="4"/>
        <v>0</v>
      </c>
      <c r="AC48" s="371"/>
      <c r="AD48" s="370"/>
      <c r="AE48" s="370"/>
      <c r="AF48" s="58"/>
      <c r="AG48" s="59"/>
    </row>
    <row r="49" spans="2:33" ht="15" customHeight="1" thickBot="1" x14ac:dyDescent="0.3">
      <c r="B49" s="56"/>
      <c r="C49" s="595" t="s">
        <v>307</v>
      </c>
      <c r="D49" s="596"/>
      <c r="E49" s="253">
        <f>IF(Janeiro!$D$34=0,"",(((SUM(Cadastro!$AI$40,Cadastro!$AQ$40,Cadastro!$AY$39,Cadastro!$AY$33,Cadastro!$AY$26,Cadastro!$BG$26)/Janeiro!$D$34)/12)*$E$29))</f>
        <v>3.1812048145573112E-2</v>
      </c>
      <c r="F49" s="253" t="str">
        <f>IF(Fevereiro!$D$34=0,"",(((SUM(Cadastro!$AI$40,Cadastro!$AQ$40,Cadastro!$AY$39,Cadastro!$AY$33,Cadastro!$AY$26,Cadastro!$BG$26)/Fevereiro!$D$34)/12)*$E$29))</f>
        <v/>
      </c>
      <c r="G49" s="253" t="str">
        <f>IF(Março!$D$34=0,"",(((SUM(Cadastro!$AI$40,Cadastro!$AQ$40,Cadastro!$AY$39,Cadastro!$AY$33,Cadastro!$AY$26,Cadastro!$BG$26)/Março!$D$34)/12)*$E$29))</f>
        <v/>
      </c>
      <c r="H49" s="253" t="str">
        <f>IF(Abril!$D$34=0,"",(((SUM(Cadastro!$AI$40,Cadastro!$AQ$40,Cadastro!$AY$39,Cadastro!$AY$33,Cadastro!$AY$26,Cadastro!$BG$26)/Abril!$D$34)/12)*$E$29))</f>
        <v/>
      </c>
      <c r="I49" s="253" t="str">
        <f>IF(Maio!$D$34=0,"",(((SUM(Cadastro!$AI$40,Cadastro!$AQ$40,Cadastro!$AY$39,Cadastro!$AY$33,Cadastro!$AY$26,Cadastro!$BG$26)/Maio!$D$34)/12)*$E$29))</f>
        <v/>
      </c>
      <c r="J49" s="253" t="str">
        <f>IF(Junho!$D$34=0,"",(((SUM(Cadastro!$AI$40,Cadastro!$AQ$40,Cadastro!$AY$39,Cadastro!$AY$33,Cadastro!$AY$26,Cadastro!$BG$26)/Junho!$D$34)/12)*$E$29))</f>
        <v/>
      </c>
      <c r="K49" s="253" t="str">
        <f>IF(Julho!$D$34=0,"",(((SUM(Cadastro!$AI$40,Cadastro!$AQ$40,Cadastro!$AY$39,Cadastro!$AY$33,Cadastro!$AY$26,Cadastro!$BG$26)/Julho!$D$34)/12)*$E$29))</f>
        <v/>
      </c>
      <c r="L49" s="253" t="str">
        <f>IF(Agosto!$D$34=0,"",(((SUM(Cadastro!$AI$40,Cadastro!$AQ$40,Cadastro!$AY$39,Cadastro!$AY$33,Cadastro!$AY$26,Cadastro!$BG$26)/Agosto!$D$34)/12)*$E$29))</f>
        <v/>
      </c>
      <c r="M49" s="253" t="str">
        <f>IF(Setembro!$D$34=0,"",(((SUM(Cadastro!$AI$40,Cadastro!$AQ$40,Cadastro!$AY$39,Cadastro!$AY$33,Cadastro!$AY$26,Cadastro!$BG$26)/Setembro!$D$34)/12)*$E$29))</f>
        <v/>
      </c>
      <c r="N49" s="253" t="str">
        <f>IF(Outubro!$D$34=0,"",(((SUM(Cadastro!$AI$40,Cadastro!$AQ$40,Cadastro!$AY$39,Cadastro!$AY$33,Cadastro!$AY$26,Cadastro!$BG$26)/Outubro!$D$34)/12)*$E$29))</f>
        <v/>
      </c>
      <c r="O49" s="253" t="str">
        <f>IF(Novembro!$D$34=0,"",(((SUM(Cadastro!$AI$40,Cadastro!$AQ$40,Cadastro!$AY$39,Cadastro!$AY$33,Cadastro!$AY$26,Cadastro!$BG$26)/Novembro!$D$34)/12)*$E$29))</f>
        <v/>
      </c>
      <c r="P49" s="253" t="str">
        <f>IF(Dezembro!$D$34=0,"",(((SUM(Cadastro!$AI$40,Cadastro!$AQ$40,Cadastro!$AY$39,Cadastro!$AY$33,Cadastro!$AY$26,Cadastro!$BG$26)/Dezembro!$D$34)/12)*$E$29))</f>
        <v/>
      </c>
      <c r="Q49" s="58"/>
      <c r="R49" s="186"/>
      <c r="S49" s="557"/>
      <c r="T49" s="558"/>
      <c r="U49" s="184"/>
      <c r="V49" s="58"/>
      <c r="W49" s="371"/>
      <c r="X49" s="371"/>
      <c r="Y49" s="371"/>
      <c r="Z49" s="371"/>
      <c r="AA49" s="373" t="s">
        <v>15</v>
      </c>
      <c r="AB49" s="375">
        <f t="shared" si="4"/>
        <v>4.8253232966608765E-2</v>
      </c>
      <c r="AC49" s="371"/>
      <c r="AD49" s="370"/>
      <c r="AE49" s="370"/>
      <c r="AF49" s="58"/>
      <c r="AG49" s="59"/>
    </row>
    <row r="50" spans="2:33" ht="15.75" thickBot="1" x14ac:dyDescent="0.3">
      <c r="B50" s="56"/>
      <c r="C50" s="574" t="s">
        <v>305</v>
      </c>
      <c r="D50" s="575"/>
      <c r="E50" s="253">
        <f>IF(Janeiro!$D$34=0,"",(Janeiro!$S$16/Janeiro!$D$34)*$E$29)</f>
        <v>6.3012295081967207E-2</v>
      </c>
      <c r="F50" s="253" t="str">
        <f>IF(Fevereiro!$D$34=0,"",(Fevereiro!$S$16/Fevereiro!$D$34)*$E$29)</f>
        <v/>
      </c>
      <c r="G50" s="253" t="str">
        <f>IF(Março!$D$34=0,"",(Março!$S$16/Março!$D$34)*$E$29)</f>
        <v/>
      </c>
      <c r="H50" s="253" t="str">
        <f>IF(Abril!$D$34=0,"",(Abril!$S$16/Abril!$D$34)*$E$29)</f>
        <v/>
      </c>
      <c r="I50" s="253" t="str">
        <f>IF(Maio!$D$34=0,"",(Maio!$S$16/Maio!$D$34)*$E$29)</f>
        <v/>
      </c>
      <c r="J50" s="253" t="str">
        <f>IF(Junho!$D$34=0,"",(Junho!$S$16/Junho!$D$34)*$E$29)</f>
        <v/>
      </c>
      <c r="K50" s="253" t="str">
        <f>IF(Julho!$D$34=0,"",(Julho!$S$16/Julho!$D$34)*$E$29)</f>
        <v/>
      </c>
      <c r="L50" s="253" t="str">
        <f>IF(Agosto!$D$34=0,"",(Agosto!$S$16/Agosto!$D$34)*$E$29)</f>
        <v/>
      </c>
      <c r="M50" s="253" t="str">
        <f>IF(Setembro!$D$34=0,"",(Setembro!$S$16/Setembro!$D$34)*$E$29)</f>
        <v/>
      </c>
      <c r="N50" s="253" t="str">
        <f>IF(Outubro!$D$34=0,"",(Outubro!$S$16/Outubro!$D$34)*$E$29)</f>
        <v/>
      </c>
      <c r="O50" s="253" t="str">
        <f>IF(Novembro!$D$34=0,"",(Novembro!$S$16/Novembro!$D$34)*$E$29)</f>
        <v/>
      </c>
      <c r="P50" s="253" t="str">
        <f>IF(Dezembro!$D$34=0,"",(Dezembro!$S$16/Dezembro!$D$34)*$E$29)</f>
        <v/>
      </c>
      <c r="Q50" s="58"/>
      <c r="R50" s="186"/>
      <c r="S50" s="117"/>
      <c r="T50" s="117"/>
      <c r="U50" s="184"/>
      <c r="V50" s="58"/>
      <c r="W50" s="371"/>
      <c r="X50" s="371"/>
      <c r="Y50" s="371"/>
      <c r="Z50" s="371"/>
      <c r="AA50" s="373" t="s">
        <v>311</v>
      </c>
      <c r="AB50" s="375">
        <f t="shared" si="4"/>
        <v>0</v>
      </c>
      <c r="AC50" s="371"/>
      <c r="AD50" s="370"/>
      <c r="AE50" s="370"/>
      <c r="AF50" s="58"/>
      <c r="AG50" s="59"/>
    </row>
    <row r="51" spans="2:33" ht="15.75" thickBot="1" x14ac:dyDescent="0.3">
      <c r="B51" s="56"/>
      <c r="C51" s="568" t="s">
        <v>335</v>
      </c>
      <c r="D51" s="569"/>
      <c r="E51" s="252">
        <f>IF(Janeiro!$D$34=0,"",SUM(E48,E49,E50))</f>
        <v>0.24945651535868787</v>
      </c>
      <c r="F51" s="252" t="str">
        <f>IF(Fevereiro!$D$34=0,"",SUM(F48,F49,F50))</f>
        <v/>
      </c>
      <c r="G51" s="252" t="str">
        <f>IF(Março!$D$34=0,"",SUM(G48,G49,G50))</f>
        <v/>
      </c>
      <c r="H51" s="252" t="str">
        <f>IF(Abril!$D$34=0,"",SUM(H48,H49,H50))</f>
        <v/>
      </c>
      <c r="I51" s="252" t="str">
        <f>IF(Maio!$D$34=0,"",SUM(I48,I49,I50))</f>
        <v/>
      </c>
      <c r="J51" s="252" t="str">
        <f>IF(Junho!$D$34=0,"",SUM(J48,J49,J50))</f>
        <v/>
      </c>
      <c r="K51" s="252" t="str">
        <f>IF(Julho!$D$34=0,"",SUM(K48,K49,K50))</f>
        <v/>
      </c>
      <c r="L51" s="252" t="str">
        <f>IF(Agosto!$D$34=0,"",SUM(L48,L49,L50))</f>
        <v/>
      </c>
      <c r="M51" s="252" t="str">
        <f>IF(Setembro!$D$34=0,"",SUM(M48,M49,M50))</f>
        <v/>
      </c>
      <c r="N51" s="252" t="str">
        <f>IF(Outubro!$D$34=0,"",SUM(N48,N49,N50))</f>
        <v/>
      </c>
      <c r="O51" s="252" t="str">
        <f>IF(Novembro!$D$34=0,"",SUM(O48,O49,O50))</f>
        <v/>
      </c>
      <c r="P51" s="252" t="str">
        <f>IF(Dezembro!$D$34=0,"",SUM(P48,P49,P50))</f>
        <v/>
      </c>
      <c r="Q51" s="58"/>
      <c r="R51" s="186"/>
      <c r="S51" s="117"/>
      <c r="T51" s="117"/>
      <c r="U51" s="184"/>
      <c r="V51" s="58"/>
      <c r="W51" s="371"/>
      <c r="X51" s="371"/>
      <c r="Y51" s="371"/>
      <c r="Z51" s="371"/>
      <c r="AA51" s="373" t="s">
        <v>312</v>
      </c>
      <c r="AB51" s="375">
        <f t="shared" si="4"/>
        <v>1.0036672457054623E-2</v>
      </c>
      <c r="AC51" s="371"/>
      <c r="AD51" s="370"/>
      <c r="AE51" s="370"/>
      <c r="AF51" s="58"/>
      <c r="AG51" s="59"/>
    </row>
    <row r="52" spans="2:33" x14ac:dyDescent="0.25">
      <c r="B52" s="56"/>
      <c r="C52" s="576" t="s">
        <v>330</v>
      </c>
      <c r="D52" s="577"/>
      <c r="E52" s="253">
        <f>IF(Janeiro!$D$34=0,"",(((Cadastro!$F$8*12)*((Cadastro!$F$25+Cadastro!$F$34))/Janeiro!$D$34)/12)*$E$29)</f>
        <v>5.8480077413479048E-2</v>
      </c>
      <c r="F52" s="253" t="str">
        <f>IF(Fevereiro!$D$34=0,"",(((Cadastro!$F$8*12)*((Cadastro!$F$25+Cadastro!$F$34))/Fevereiro!$D$34)/12)*$E$29)</f>
        <v/>
      </c>
      <c r="G52" s="253" t="str">
        <f>IF(Março!$D$34=0,"",(((Cadastro!$F$8*12)*((Cadastro!$F$25+Cadastro!$F$34))/Março!$D$34)/12)*$E$29)</f>
        <v/>
      </c>
      <c r="H52" s="253" t="str">
        <f>IF(Abril!$D$34=0,"",(((Cadastro!$F$8*12)*((Cadastro!$F$25+Cadastro!$F$34))/Abril!$D$34)/12)*$E$29)</f>
        <v/>
      </c>
      <c r="I52" s="253" t="str">
        <f>IF(Maio!$D$34=0,"",(((Cadastro!$F$8*12)*((Cadastro!$F$25+Cadastro!$F$34))/Maio!$D$34)/12)*$E$29)</f>
        <v/>
      </c>
      <c r="J52" s="253" t="str">
        <f>IF(Junho!$D$34=0,"",(((Cadastro!$F$8*12)*((Cadastro!$F$25+Cadastro!$F$34))/Junho!$D$34)/12)*$E$29)</f>
        <v/>
      </c>
      <c r="K52" s="253" t="str">
        <f>IF(Julho!$D$34=0,"",(((Cadastro!$F$8*12)*((Cadastro!$F$25+Cadastro!$F$34))/Julho!$D$34)/12)*$E$29)</f>
        <v/>
      </c>
      <c r="L52" s="253" t="str">
        <f>IF(Agosto!$D$34=0,"",(((Cadastro!$F$8*12)*((Cadastro!$F$25+Cadastro!$F$34))/Agosto!$D$34)/12)*$E$29)</f>
        <v/>
      </c>
      <c r="M52" s="253" t="str">
        <f>IF(Setembro!$D$34=0,"",(((Cadastro!$F$8*12)*((Cadastro!$F$25+Cadastro!$F$34))/Setembro!$D$34)/12)*$E$29)</f>
        <v/>
      </c>
      <c r="N52" s="253" t="str">
        <f>IF(Outubro!$D$34=0,"",(((Cadastro!$F$8*12)*((Cadastro!$F$25+Cadastro!$F$34))/Outubro!$D$34)/12)*$E$29)</f>
        <v/>
      </c>
      <c r="O52" s="253" t="str">
        <f>IF(Novembro!$D$34=0,"",(((Cadastro!$F$8*12)*((Cadastro!$F$25+Cadastro!$F$34))/Novembro!$D$34)/12)*$E$29)</f>
        <v/>
      </c>
      <c r="P52" s="253" t="str">
        <f>IF(Dezembro!$D$34=0,"",(((Cadastro!$F$8*12)*((Cadastro!$F$25+Cadastro!$F$34))/Dezembro!$D$34)/12)*$E$29)</f>
        <v/>
      </c>
      <c r="Q52" s="58"/>
      <c r="R52" s="186"/>
      <c r="S52" s="117"/>
      <c r="T52" s="117"/>
      <c r="U52" s="184"/>
      <c r="V52" s="58"/>
      <c r="W52" s="371"/>
      <c r="X52" s="371"/>
      <c r="Y52" s="371"/>
      <c r="Z52" s="371"/>
      <c r="AA52" s="373" t="s">
        <v>390</v>
      </c>
      <c r="AB52" s="375">
        <f t="shared" si="4"/>
        <v>0</v>
      </c>
      <c r="AC52" s="371"/>
      <c r="AD52" s="370"/>
      <c r="AE52" s="370"/>
      <c r="AF52" s="58"/>
      <c r="AG52" s="59"/>
    </row>
    <row r="53" spans="2:33" x14ac:dyDescent="0.25">
      <c r="B53" s="56"/>
      <c r="C53" s="570" t="s">
        <v>331</v>
      </c>
      <c r="D53" s="571"/>
      <c r="E53" s="255">
        <f>IF(Janeiro!$D$34=0,"",((Janeiro!$S$11/Janeiro!$D$34)/12)*$E$29)</f>
        <v>4.3058401639344262E-4</v>
      </c>
      <c r="F53" s="255" t="str">
        <f>IF(Fevereiro!$D$34=0,"",((Fevereiro!$S$11/Fevereiro!$D$34)/12)*$E$29)</f>
        <v/>
      </c>
      <c r="G53" s="255" t="str">
        <f>IF(Março!$D$34=0,"",((Março!$S$11/Março!$D$34)/12)*$E$29)</f>
        <v/>
      </c>
      <c r="H53" s="255" t="str">
        <f>IF(Abril!$D$34=0,"",((Abril!$S$11/Abril!$D$34)/12)*$E$29)</f>
        <v/>
      </c>
      <c r="I53" s="255" t="str">
        <f>IF(Maio!$D$34=0,"",((Maio!$S$11/Maio!$D$34)/12)*$E$29)</f>
        <v/>
      </c>
      <c r="J53" s="255" t="str">
        <f>IF(Junho!$D$34=0,"",((Junho!$S$11/Junho!$D$34)/12)*$E$29)</f>
        <v/>
      </c>
      <c r="K53" s="255" t="str">
        <f>IF(Julho!$D$34=0,"",((Julho!$S$11/Julho!$D$34)/12)*$E$29)</f>
        <v/>
      </c>
      <c r="L53" s="255" t="str">
        <f>IF(Agosto!$D$34=0,"",((Agosto!$S$11/Agosto!$D$34)/12)*$E$29)</f>
        <v/>
      </c>
      <c r="M53" s="255" t="str">
        <f>IF(Setembro!$D$34=0,"",((Setembro!$S$11/Setembro!$D$34)/12)*$E$29)</f>
        <v/>
      </c>
      <c r="N53" s="255" t="str">
        <f>IF(Outubro!$D$34=0,"",((Outubro!$S$11/Outubro!$D$34)/12)*$E$29)</f>
        <v/>
      </c>
      <c r="O53" s="255" t="str">
        <f>IF(Novembro!$D$34=0,"",((Novembro!$S$11/Novembro!$D$34)/12)*$E$29)</f>
        <v/>
      </c>
      <c r="P53" s="255" t="str">
        <f>IF(Dezembro!$D$34=0,"",((Dezembro!$S$11/Dezembro!$D$34)/12)*$E$29)</f>
        <v/>
      </c>
      <c r="Q53" s="58"/>
      <c r="R53" s="186"/>
      <c r="S53" s="117"/>
      <c r="T53" s="117"/>
      <c r="U53" s="184"/>
      <c r="V53" s="58"/>
      <c r="W53" s="371"/>
      <c r="X53" s="371"/>
      <c r="Y53" s="371"/>
      <c r="Z53" s="371"/>
      <c r="AA53" s="373" t="s">
        <v>305</v>
      </c>
      <c r="AB53" s="375">
        <f t="shared" si="4"/>
        <v>0.28951939779965258</v>
      </c>
      <c r="AC53" s="371"/>
      <c r="AD53" s="370"/>
      <c r="AE53" s="370"/>
      <c r="AF53" s="58"/>
      <c r="AG53" s="59"/>
    </row>
    <row r="54" spans="2:33" x14ac:dyDescent="0.25">
      <c r="B54" s="56"/>
      <c r="C54" s="570" t="s">
        <v>16</v>
      </c>
      <c r="D54" s="571"/>
      <c r="E54" s="253">
        <f>IF(Janeiro!$D$34=0,"",((((Janeiro!$D$5*Janeiro!$R$22+Janeiro!$D$6*Janeiro!$R$23+Janeiro!$D$7*Janeiro!$R$24+Janeiro!$D$8*Janeiro!$R$25+Janeiro!$D$9*Janeiro!$R$26+Janeiro!$D$10*Janeiro!$R$27)+(Janeiro!$D$14*Janeiro!$R$30+Janeiro!$D$15*Janeiro!$R$31+Janeiro!$D$16*Janeiro!$R$32+Janeiro!$D$17*Janeiro!$R$33+Janeiro!$D$18*Janeiro!$R$34+Janeiro!$D$19*Janeiro!$R$35))/Janeiro!$D$34)/12)*$E$29)</f>
        <v>1.4352800546448086</v>
      </c>
      <c r="F54" s="253" t="str">
        <f>IF(Fevereiro!$D$34=0,"",((((Fevereiro!$D$5*Fevereiro!$R$22+Fevereiro!$D$6*Fevereiro!$R$23+Fevereiro!$D$7*Fevereiro!$R$24+Fevereiro!$D$8*Fevereiro!$R$25+Fevereiro!$D$9*Fevereiro!$R$26+Fevereiro!$D$10*Fevereiro!$R$27)+(Fevereiro!$D$14*Fevereiro!$R$30+Fevereiro!$D$15*Fevereiro!$R$31+Fevereiro!$D$16*Fevereiro!$R$32+Fevereiro!$D$17*Fevereiro!$R$33+Fevereiro!$D$18*Fevereiro!$R$34+Fevereiro!$D$19*Fevereiro!$R$35))/Fevereiro!$D$34)/12)*$E$29)</f>
        <v/>
      </c>
      <c r="G54" s="253" t="str">
        <f>IF(Março!$D$34=0,"",((((Março!$D$5*Março!$R$22+Março!$D$6*Março!$R$23+Março!$D$7*Março!$R$24+Março!$D$8*Março!$R$25+Março!$D$9*Março!$R$26+Março!$D$10*Março!$R$27)+(Março!$D$14*Março!$R$30+Março!$D$15*Março!$R$31+Março!$D$16*Março!$R$32+Março!$D$17*Março!$R$33+Março!$D$18*Março!$R$34+Março!$D$19*Março!$R$35))/Março!$D$34)/12)*$E$29)</f>
        <v/>
      </c>
      <c r="H54" s="253" t="str">
        <f>IF(Abril!$D$34=0,"",((((Abril!$D$5*Abril!$R$22+Abril!$D$6*Abril!$R$23+Abril!$D$7*Abril!$R$24+Abril!$D$8*Abril!$R$25+Abril!$D$9*Abril!$R$26+Abril!$D$10*Abril!$R$27)+(Abril!$D$14*Abril!$R$30+Abril!$D$15*Abril!$R$31+Abril!$D$16*Abril!$R$32+Abril!$D$17*Abril!$R$33+Abril!$D$18*Abril!$R$34+Abril!$D$19*Abril!$R$35))/Abril!$D$34)/12)*$E$29)</f>
        <v/>
      </c>
      <c r="I54" s="253" t="str">
        <f>IF(Maio!$D$34=0,"",((((Maio!$D$5*Maio!$R$22+Maio!$D$6*Maio!$R$23+Maio!$D$7*Maio!$R$24+Maio!$D$8*Maio!$R$25+Maio!$D$9*Maio!$R$26+Maio!$D$10*Maio!$R$27)+(Maio!$D$14*Maio!$R$30+Maio!$D$15*Maio!$R$31+Maio!$D$16*Maio!$R$32+Maio!$D$17*Maio!$R$33+Maio!$D$18*Maio!$R$34+Maio!$D$19*Maio!$R$35))/Maio!$D$34)/12)*$E$29)</f>
        <v/>
      </c>
      <c r="J54" s="253" t="str">
        <f>IF(Junho!$D$34=0,"",((((Junho!$D$5*Junho!$R$22+Junho!$D$6*Junho!$R$23+Junho!$D$7*Junho!$R$24+Junho!$D$8*Junho!$R$25+Junho!$D$9*Junho!$R$26+Junho!$D$10*Junho!$R$27)+(Junho!$D$14*Junho!$R$30+Junho!$D$15*Junho!$R$31+Junho!$D$16*Junho!$R$32+Junho!$D$17*Junho!$R$33+Junho!$D$18*Junho!$R$34+Junho!$D$19*Junho!$R$35))/Junho!$D$34)/12)*$E$29)</f>
        <v/>
      </c>
      <c r="K54" s="253" t="str">
        <f>IF(Julho!$D$34=0,"",((((Julho!$D$5*Julho!$R$22+Julho!$D$6*Julho!$R$23+Julho!$D$7*Julho!$R$24+Julho!$D$8*Julho!$R$25+Julho!$D$9*Julho!$R$26+Julho!$D$10*Julho!$R$27)+(Julho!$D$14*Julho!$R$30+Julho!$D$15*Julho!$R$31+Julho!$D$16*Julho!$R$32+Julho!$D$17*Julho!$R$33+Julho!$D$18*Julho!$R$34+Julho!$D$19*Julho!$R$35))/Julho!$D$34)/12)*$E$29)</f>
        <v/>
      </c>
      <c r="L54" s="253" t="str">
        <f>IF(Agosto!$D$34=0,"",((((Agosto!$D$5*Agosto!$R$22+Agosto!$D$6*Agosto!$R$23+Agosto!$D$7*Agosto!$R$24+Agosto!$D$8*Agosto!$R$25+Agosto!$D$9*Agosto!$R$26+Agosto!$D$10*Agosto!$R$27)+(Agosto!$D$14*Agosto!$R$30+Agosto!$D$15*Agosto!$R$31+Agosto!$D$16*Agosto!$R$32+Agosto!$D$17*Agosto!$R$33+Agosto!$D$18*Agosto!$R$34+Agosto!$D$19*Agosto!$R$35))/Agosto!$D$34)/12)*$E$29)</f>
        <v/>
      </c>
      <c r="M54" s="253" t="str">
        <f>IF(Setembro!$D$34=0,"",((((Setembro!$D$5*Setembro!$R$22+Setembro!$D$6*Setembro!$R$23+Setembro!$D$7*Setembro!$R$24+Setembro!$D$8*Setembro!$R$25+Setembro!$D$9*Setembro!$R$26+Setembro!$D$10*Setembro!$R$27)+(Setembro!$D$14*Setembro!$R$30+Setembro!$D$15*Setembro!$R$31+Setembro!$D$16*Setembro!$R$32+Setembro!$D$17*Setembro!$R$33+Setembro!$D$18*Setembro!$R$34+Setembro!$D$19*Setembro!$R$35))/Setembro!$D$34)/12)*$E$29)</f>
        <v/>
      </c>
      <c r="N54" s="253" t="str">
        <f>IF(Outubro!$D$34=0,"",((((Outubro!$D$5*Outubro!$R$22+Outubro!$D$6*Outubro!$R$23+Outubro!$D$7*Outubro!$R$24+Outubro!$D$8*Outubro!$R$25+Outubro!$D$9*Outubro!$R$26+Outubro!$D$10*Outubro!$R$27)+(Outubro!$D$14*Outubro!$R$30+Outubro!$D$15*Outubro!$R$31+Outubro!$D$16*Outubro!$R$32+Outubro!$D$17*Outubro!$R$33+Outubro!$D$18*Outubro!$R$34+Outubro!$D$19*Outubro!$R$35))/Outubro!$D$34)/12)*$E$29)</f>
        <v/>
      </c>
      <c r="O54" s="253" t="str">
        <f>IF(Novembro!$D$34=0,"",((((Novembro!$D$5*Novembro!$R$22+Novembro!$D$6*Novembro!$R$23+Novembro!$D$7*Novembro!$R$24+Novembro!$D$8*Novembro!$R$25+Novembro!$D$9*Novembro!$R$26+Novembro!$D$10*Novembro!$R$27)+(Novembro!$D$14*Novembro!$R$30+Novembro!$D$15*Novembro!$R$31+Novembro!$D$16*Novembro!$R$32+Novembro!$D$17*Novembro!$R$33+Novembro!$D$18*Novembro!$R$34+Novembro!$D$19*Novembro!$R$35))/Novembro!$D$34)/12)*$E$29)</f>
        <v/>
      </c>
      <c r="P54" s="253" t="str">
        <f>IF(Dezembro!$D$34=0,"",((((Dezembro!$D$5*Dezembro!$R$22+Dezembro!$D$6*Dezembro!$R$23+Dezembro!$D$7*Dezembro!$R$24+Dezembro!$D$8*Dezembro!$R$25+Dezembro!$D$9*Dezembro!$R$26+Dezembro!$D$10*Dezembro!$R$27)+(Dezembro!$D$14*Dezembro!$R$30+Dezembro!$D$15*Dezembro!$R$31+Dezembro!$D$16*Dezembro!$R$32+Dezembro!$D$17*Dezembro!$R$33+Dezembro!$D$18*Dezembro!$R$34+Dezembro!$D$19*Dezembro!$R$35))/Dezembro!$D$34)/12)*$E$29)</f>
        <v/>
      </c>
      <c r="Q54" s="58"/>
      <c r="R54" s="186"/>
      <c r="S54" s="117"/>
      <c r="T54" s="117"/>
      <c r="U54" s="184"/>
      <c r="V54" s="58"/>
      <c r="W54" s="371"/>
      <c r="X54" s="371"/>
      <c r="Y54" s="371"/>
      <c r="Z54" s="371"/>
      <c r="AA54" s="371"/>
      <c r="AB54" s="371"/>
      <c r="AC54" s="371"/>
      <c r="AD54" s="370"/>
      <c r="AE54" s="370"/>
      <c r="AF54" s="58"/>
      <c r="AG54" s="59"/>
    </row>
    <row r="55" spans="2:33" x14ac:dyDescent="0.25">
      <c r="B55" s="56"/>
      <c r="C55" s="570" t="s">
        <v>17</v>
      </c>
      <c r="D55" s="571"/>
      <c r="E55" s="253">
        <f>IF(Janeiro!$D$34=0,"",(((Cadastro!$AM$40*Cadastro!$F$5+Cadastro!$AU$26*Cadastro!$F$5+Cadastro!$BC$26*Cadastro!$F$5+Cadastro!$AU$33*Cadastro!$F$5+Cadastro!$AU$39*Cadastro!$F$5)/Janeiro!$D$34)/12)*$E$29)</f>
        <v>1.8541367827868849E-3</v>
      </c>
      <c r="F55" s="253" t="str">
        <f>IF(Fevereiro!$D$34=0,"",(((Cadastro!$AM$40*Cadastro!$F$5+Cadastro!$AU$26*Cadastro!$F$5+Cadastro!$BC$26*Cadastro!$F$5+Cadastro!$AU$33*Cadastro!$F$5+Cadastro!$AU$39*Cadastro!$F$5)/Fevereiro!$D$34)/12)*$E$29)</f>
        <v/>
      </c>
      <c r="G55" s="253" t="str">
        <f>IF(Março!$D$34=0,"",(((Cadastro!$AM$40*Cadastro!$F$5+Cadastro!$AU$26*Cadastro!$F$5+Cadastro!$BC$26*Cadastro!$F$5+Cadastro!$AU$33*Cadastro!$F$5+Cadastro!$AU$39*Cadastro!$F$5)/Março!$D$34)/12)*$E$29)</f>
        <v/>
      </c>
      <c r="H55" s="253" t="str">
        <f>IF(Abril!$D$34=0,"",(((Cadastro!$AM$40*Cadastro!$F$5+Cadastro!$AU$26*Cadastro!$F$5+Cadastro!$BC$26*Cadastro!$F$5+Cadastro!$AU$33*Cadastro!$F$5+Cadastro!$AU$39*Cadastro!$F$5)/Abril!$D$34)/12)*$E$29)</f>
        <v/>
      </c>
      <c r="I55" s="253" t="str">
        <f>IF(Maio!$D$34=0,"",(((Cadastro!$AM$40*Cadastro!$F$5+Cadastro!$AU$26*Cadastro!$F$5+Cadastro!$BC$26*Cadastro!$F$5+Cadastro!$AU$33*Cadastro!$F$5+Cadastro!$AU$39*Cadastro!$F$5)/Maio!$D$34)/12)*$E$29)</f>
        <v/>
      </c>
      <c r="J55" s="253" t="str">
        <f>IF(Junho!$D$34=0,"",(((Cadastro!$AM$40*Cadastro!$F$5+Cadastro!$AU$26*Cadastro!$F$5+Cadastro!$BC$26*Cadastro!$F$5+Cadastro!$AU$33*Cadastro!$F$5+Cadastro!$AU$39*Cadastro!$F$5)/Junho!$D$34)/12)*$E$29)</f>
        <v/>
      </c>
      <c r="K55" s="253" t="str">
        <f>IF(Julho!$D$34=0,"",(((Cadastro!$AM$40*Cadastro!$F$5+Cadastro!$AU$26*Cadastro!$F$5+Cadastro!$BC$26*Cadastro!$F$5+Cadastro!$AU$33*Cadastro!$F$5+Cadastro!$AU$39*Cadastro!$F$5)/Julho!$D$34)/12)*$E$29)</f>
        <v/>
      </c>
      <c r="L55" s="253" t="str">
        <f>IF(Agosto!$D$34=0,"",(((Cadastro!$AM$40*Cadastro!$F$5+Cadastro!$AU$26*Cadastro!$F$5+Cadastro!$BC$26*Cadastro!$F$5+Cadastro!$AU$33*Cadastro!$F$5+Cadastro!$AU$39*Cadastro!$F$5)/Agosto!$D$34)/12)*$E$29)</f>
        <v/>
      </c>
      <c r="M55" s="253" t="str">
        <f>IF(Setembro!$D$34=0,"",(((Cadastro!$AM$40*Cadastro!$F$5+Cadastro!$AU$26*Cadastro!$F$5+Cadastro!$BC$26*Cadastro!$F$5+Cadastro!$AU$33*Cadastro!$F$5+Cadastro!$AU$39*Cadastro!$F$5)/Setembro!$D$34)/12)*$E$29)</f>
        <v/>
      </c>
      <c r="N55" s="253" t="str">
        <f>IF(Outubro!$D$34=0,"",(((Cadastro!$AM$40*Cadastro!$F$5+Cadastro!$AU$26*Cadastro!$F$5+Cadastro!$BC$26*Cadastro!$F$5+Cadastro!$AU$33*Cadastro!$F$5+Cadastro!$AU$39*Cadastro!$F$5)/Outubro!$D$34)/12)*$E$29)</f>
        <v/>
      </c>
      <c r="O55" s="253" t="str">
        <f>IF(Novembro!$D$34=0,"",(((Cadastro!$AM$40*Cadastro!$F$5+Cadastro!$AU$26*Cadastro!$F$5+Cadastro!$BC$26*Cadastro!$F$5+Cadastro!$AU$33*Cadastro!$F$5+Cadastro!$AU$39*Cadastro!$F$5)/Novembro!$D$34)/12)*$E$29)</f>
        <v/>
      </c>
      <c r="P55" s="253" t="str">
        <f>IF(Dezembro!$D$34=0,"",(((Cadastro!$AM$40*Cadastro!$F$5+Cadastro!$AU$26*Cadastro!$F$5+Cadastro!$BC$26*Cadastro!$F$5+Cadastro!$AU$33*Cadastro!$F$5+Cadastro!$AU$39*Cadastro!$F$5)/Dezembro!$D$34)/12)*$E$29)</f>
        <v/>
      </c>
      <c r="Q55" s="58"/>
      <c r="R55" s="186"/>
      <c r="S55" s="117"/>
      <c r="T55" s="117"/>
      <c r="U55" s="369"/>
      <c r="V55" s="58"/>
      <c r="W55" s="371"/>
      <c r="X55" s="371"/>
      <c r="Y55" s="371"/>
      <c r="Z55" s="371"/>
      <c r="AA55" s="371"/>
      <c r="AB55" s="371"/>
      <c r="AC55" s="371"/>
      <c r="AD55" s="370"/>
      <c r="AE55" s="370"/>
      <c r="AF55" s="58"/>
      <c r="AG55" s="59"/>
    </row>
    <row r="56" spans="2:33" x14ac:dyDescent="0.25">
      <c r="B56" s="56"/>
      <c r="C56" s="570" t="s">
        <v>18</v>
      </c>
      <c r="D56" s="571"/>
      <c r="E56" s="253">
        <f>IF(Janeiro!$D$34=0,"",(((Cadastro!$AE$40*Cadastro!$F$5)/Janeiro!$D$34)/12)*$E$29)</f>
        <v>1.5617807377049179E-2</v>
      </c>
      <c r="F56" s="253" t="str">
        <f>IF(Fevereiro!$D$34=0,"",(((Cadastro!$AE$40*Cadastro!$F$5)/Fevereiro!$D$34)/12)*$E$29)</f>
        <v/>
      </c>
      <c r="G56" s="253" t="str">
        <f>IF(Março!$D$34=0,"",(((Cadastro!$AE$40*Cadastro!$F$5)/Março!$D$34)/12)*$E$29)</f>
        <v/>
      </c>
      <c r="H56" s="253" t="str">
        <f>IF(Abril!$D$34=0,"",(((Cadastro!$AE$40*Cadastro!$F$5)/Abril!$D$34)/12)*$E$29)</f>
        <v/>
      </c>
      <c r="I56" s="253" t="str">
        <f>IF(Maio!$D$34=0,"",(((Cadastro!$AE$40*Cadastro!$F$5)/Maio!$D$34)/12)*$E$29)</f>
        <v/>
      </c>
      <c r="J56" s="253" t="str">
        <f>IF(Junho!$D$34=0,"",(((Cadastro!$AE$40*Cadastro!$F$5)/Junho!$D$34)/12)*$E$29)</f>
        <v/>
      </c>
      <c r="K56" s="253" t="str">
        <f>IF(Julho!$D$34=0,"",(((Cadastro!$AE$40*Cadastro!$F$5)/Julho!$D$34)/12)*$E$29)</f>
        <v/>
      </c>
      <c r="L56" s="253" t="str">
        <f>IF(Agosto!$D$34=0,"",(((Cadastro!$AE$40*Cadastro!$F$5)/Agosto!$D$34)/12)*$E$29)</f>
        <v/>
      </c>
      <c r="M56" s="253" t="str">
        <f>IF(Setembro!$D$34=0,"",(((Cadastro!$AE$40*Cadastro!$F$5)/Setembro!$D$34)/12)*$E$29)</f>
        <v/>
      </c>
      <c r="N56" s="253" t="str">
        <f>IF(Outubro!$D$34=0,"",(((Cadastro!$AE$40*Cadastro!$F$5)/Outubro!$D$34)/12)*$E$29)</f>
        <v/>
      </c>
      <c r="O56" s="253" t="str">
        <f>IF(Novembro!$D$34=0,"",(((Cadastro!$AE$40*Cadastro!$F$5)/Novembro!$D$34)/12)*$E$29)</f>
        <v/>
      </c>
      <c r="P56" s="253" t="str">
        <f>IF(Dezembro!$D$34=0,"",(((Cadastro!$AE$40*Cadastro!$F$5)/Dezembro!$D$34)/12)*$E$29)</f>
        <v/>
      </c>
      <c r="Q56" s="58"/>
      <c r="R56" s="186"/>
      <c r="S56" s="117"/>
      <c r="T56" s="117"/>
      <c r="U56" s="369"/>
      <c r="V56" s="58"/>
      <c r="W56" s="371"/>
      <c r="X56" s="371"/>
      <c r="Y56" s="371"/>
      <c r="Z56" s="371"/>
      <c r="AA56" s="371"/>
      <c r="AB56" s="371"/>
      <c r="AC56" s="371"/>
      <c r="AD56" s="370"/>
      <c r="AE56" s="370"/>
      <c r="AF56" s="58"/>
      <c r="AG56" s="59"/>
    </row>
    <row r="57" spans="2:33" x14ac:dyDescent="0.25">
      <c r="B57" s="56"/>
      <c r="C57" s="570" t="s">
        <v>9</v>
      </c>
      <c r="D57" s="571"/>
      <c r="E57" s="253">
        <f>IF(Janeiro!$D$34=0,"",((Cadastro!$X$34/Janeiro!$D$34)/12)*$E$29)</f>
        <v>4.2785348360655735E-2</v>
      </c>
      <c r="F57" s="253" t="str">
        <f>IF(Fevereiro!$D$34=0,"",((Cadastro!$X$34/Fevereiro!$D$34)/12)*$E$29)</f>
        <v/>
      </c>
      <c r="G57" s="253" t="str">
        <f>IF(Março!$D$34=0,"",((Cadastro!$X$34/Março!$D$34)/12)*$E$29)</f>
        <v/>
      </c>
      <c r="H57" s="253" t="str">
        <f>IF(Abril!$D$34=0,"",((Cadastro!$X$34/Abril!$D$34)/12)*$E$29)</f>
        <v/>
      </c>
      <c r="I57" s="253" t="str">
        <f>IF(Maio!$D$34=0,"",((Cadastro!$X$34/Maio!$D$34)/12)*$E$29)</f>
        <v/>
      </c>
      <c r="J57" s="253" t="str">
        <f>IF(Junho!$D$34=0,"",((Cadastro!$X$34/Junho!$D$34)/12)*$E$29)</f>
        <v/>
      </c>
      <c r="K57" s="253" t="str">
        <f>IF(Julho!$D$34=0,"",((Cadastro!$X$34/Julho!$D$34)/12)*$E$29)</f>
        <v/>
      </c>
      <c r="L57" s="253" t="str">
        <f>IF(Agosto!$D$34=0,"",((Cadastro!$X$34/Agosto!$D$34)/12)*$E$29)</f>
        <v/>
      </c>
      <c r="M57" s="253" t="str">
        <f>IF(Setembro!$D$34=0,"",((Cadastro!$X$34/Setembro!$D$34)/12)*$E$29)</f>
        <v/>
      </c>
      <c r="N57" s="253" t="str">
        <f>IF(Outubro!$D$34=0,"",((Cadastro!$X$34/Outubro!$D$34)/12)*$E$29)</f>
        <v/>
      </c>
      <c r="O57" s="253" t="str">
        <f>IF(Novembro!$D$34=0,"",((Cadastro!$X$34/Novembro!$D$34)/12)*$E$29)</f>
        <v/>
      </c>
      <c r="P57" s="253" t="str">
        <f>IF(Dezembro!$D$34=0,"",((Cadastro!$X$34/Dezembro!$D$34)/12)*$E$29)</f>
        <v/>
      </c>
      <c r="Q57" s="58"/>
      <c r="R57" s="186"/>
      <c r="S57" s="117"/>
      <c r="T57" s="117"/>
      <c r="U57" s="369"/>
      <c r="V57" s="58"/>
      <c r="W57" s="370"/>
      <c r="X57" s="370"/>
      <c r="Y57" s="370"/>
      <c r="Z57" s="370"/>
      <c r="AA57" s="370"/>
      <c r="AB57" s="370"/>
      <c r="AC57" s="370"/>
      <c r="AD57" s="370"/>
      <c r="AE57" s="370"/>
      <c r="AF57" s="58"/>
      <c r="AG57" s="59"/>
    </row>
    <row r="58" spans="2:33" ht="15.75" thickBot="1" x14ac:dyDescent="0.3">
      <c r="B58" s="56"/>
      <c r="C58" s="572" t="s">
        <v>332</v>
      </c>
      <c r="D58" s="573"/>
      <c r="E58" s="253">
        <f>IF(Janeiro!$D$34=0,"",((Cadastro!$X$36/Janeiro!$D$34)/12)*$E$29)</f>
        <v>3.8507513661202183E-2</v>
      </c>
      <c r="F58" s="253" t="str">
        <f>IF(Fevereiro!$D$34=0,"",((Cadastro!$X$36/Fevereiro!$D$34)/12)*$E$29)</f>
        <v/>
      </c>
      <c r="G58" s="253" t="str">
        <f>IF(Março!$D$34=0,"",((Cadastro!$X$36/Março!$D$34)/12)*$E$29)</f>
        <v/>
      </c>
      <c r="H58" s="253" t="str">
        <f>IF(Abril!$D$34=0,"",((Cadastro!$X$36/Abril!$D$34)/12)*$E$29)</f>
        <v/>
      </c>
      <c r="I58" s="253" t="str">
        <f>IF(Maio!$D$34=0,"",((Cadastro!$X$36/Maio!$D$34)/12)*$E$29)</f>
        <v/>
      </c>
      <c r="J58" s="253" t="str">
        <f>IF(Junho!$D$34=0,"",((Cadastro!$X$36/Junho!$D$34)/12)*$E$29)</f>
        <v/>
      </c>
      <c r="K58" s="253" t="str">
        <f>IF(Julho!$D$34=0,"",((Cadastro!$X$36/Julho!$D$34)/12)*$E$29)</f>
        <v/>
      </c>
      <c r="L58" s="253" t="str">
        <f>IF(Agosto!$D$34=0,"",((Cadastro!$X$36/Agosto!$D$34)/12)*$E$29)</f>
        <v/>
      </c>
      <c r="M58" s="253" t="str">
        <f>IF(Setembro!$D$34=0,"",((Cadastro!$X$36/Setembro!$D$34)/12)*$E$29)</f>
        <v/>
      </c>
      <c r="N58" s="253" t="str">
        <f>IF(Outubro!$D$34=0,"",((Cadastro!$X$36/Outubro!$D$34)/12)*$E$29)</f>
        <v/>
      </c>
      <c r="O58" s="253" t="str">
        <f>IF(Novembro!$D$34=0,"",((Cadastro!$X$36/Novembro!$D$34)/12)*$E$29)</f>
        <v/>
      </c>
      <c r="P58" s="253" t="str">
        <f>IF(Dezembro!$D$34=0,"",((Cadastro!$X$36/Dezembro!$D$34)/12)*$E$29)</f>
        <v/>
      </c>
      <c r="Q58" s="58"/>
      <c r="R58" s="186"/>
      <c r="S58" s="117"/>
      <c r="T58" s="117"/>
      <c r="U58" s="369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9"/>
    </row>
    <row r="59" spans="2:33" ht="15.75" thickBot="1" x14ac:dyDescent="0.3">
      <c r="B59" s="56"/>
      <c r="C59" s="568" t="s">
        <v>336</v>
      </c>
      <c r="D59" s="569"/>
      <c r="E59" s="252">
        <f>SUM(E51,E52,E53,E54,E55,E56,E57,E58)</f>
        <v>1.8424120376150628</v>
      </c>
      <c r="F59" s="252">
        <f t="shared" ref="F59:P59" si="6">SUM(F51,F52,F53,F54,F55,F56,F57,F58)</f>
        <v>0</v>
      </c>
      <c r="G59" s="252">
        <f t="shared" si="6"/>
        <v>0</v>
      </c>
      <c r="H59" s="252">
        <f t="shared" si="6"/>
        <v>0</v>
      </c>
      <c r="I59" s="252">
        <f t="shared" si="6"/>
        <v>0</v>
      </c>
      <c r="J59" s="252">
        <f t="shared" si="6"/>
        <v>0</v>
      </c>
      <c r="K59" s="252">
        <f t="shared" si="6"/>
        <v>0</v>
      </c>
      <c r="L59" s="252">
        <f t="shared" si="6"/>
        <v>0</v>
      </c>
      <c r="M59" s="252">
        <f t="shared" si="6"/>
        <v>0</v>
      </c>
      <c r="N59" s="252">
        <f t="shared" si="6"/>
        <v>0</v>
      </c>
      <c r="O59" s="252">
        <f t="shared" si="6"/>
        <v>0</v>
      </c>
      <c r="P59" s="252">
        <f t="shared" si="6"/>
        <v>0</v>
      </c>
      <c r="Q59" s="58"/>
      <c r="R59" s="187"/>
      <c r="S59" s="188"/>
      <c r="T59" s="188"/>
      <c r="U59" s="185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9"/>
    </row>
    <row r="60" spans="2:33" ht="15.75" thickBot="1" x14ac:dyDescent="0.3">
      <c r="B60" s="113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5"/>
    </row>
    <row r="61" spans="2:33" x14ac:dyDescent="0.25"/>
    <row r="63" spans="2:33" hidden="1" x14ac:dyDescent="0.25"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</row>
    <row r="64" spans="2:33" hidden="1" x14ac:dyDescent="0.25"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</row>
    <row r="65" spans="4:18" hidden="1" x14ac:dyDescent="0.25"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</row>
    <row r="66" spans="4:18" hidden="1" x14ac:dyDescent="0.25"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</row>
    <row r="67" spans="4:18" hidden="1" x14ac:dyDescent="0.25"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9"/>
      <c r="R67" s="169"/>
    </row>
    <row r="68" spans="4:18" hidden="1" x14ac:dyDescent="0.25"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</row>
    <row r="69" spans="4:18" hidden="1" x14ac:dyDescent="0.25"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70"/>
      <c r="R69" s="170"/>
    </row>
    <row r="70" spans="4:18" hidden="1" x14ac:dyDescent="0.25"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70"/>
      <c r="R70" s="170"/>
    </row>
    <row r="71" spans="4:18" hidden="1" x14ac:dyDescent="0.25"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70"/>
      <c r="R71" s="170"/>
    </row>
    <row r="72" spans="4:18" hidden="1" x14ac:dyDescent="0.25"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70"/>
      <c r="R72" s="170"/>
    </row>
    <row r="73" spans="4:18" hidden="1" x14ac:dyDescent="0.25"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70"/>
      <c r="R73" s="170"/>
    </row>
    <row r="74" spans="4:18" hidden="1" x14ac:dyDescent="0.25"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70"/>
      <c r="R74" s="170"/>
    </row>
    <row r="75" spans="4:18" hidden="1" x14ac:dyDescent="0.25"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70"/>
      <c r="R75" s="170"/>
    </row>
    <row r="76" spans="4:18" hidden="1" x14ac:dyDescent="0.25"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70"/>
      <c r="R76" s="170"/>
    </row>
    <row r="77" spans="4:18" hidden="1" x14ac:dyDescent="0.25"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70"/>
      <c r="R77" s="170"/>
    </row>
    <row r="78" spans="4:18" hidden="1" x14ac:dyDescent="0.25"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70"/>
      <c r="R78" s="170"/>
    </row>
    <row r="79" spans="4:18" hidden="1" x14ac:dyDescent="0.25"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70"/>
      <c r="R79" s="170"/>
    </row>
    <row r="80" spans="4:18" hidden="1" x14ac:dyDescent="0.25"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70"/>
      <c r="R80" s="170"/>
    </row>
    <row r="81" spans="4:18" hidden="1" x14ac:dyDescent="0.25"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71"/>
      <c r="R81" s="171"/>
    </row>
    <row r="82" spans="4:18" hidden="1" x14ac:dyDescent="0.25"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</row>
    <row r="83" spans="4:18" hidden="1" x14ac:dyDescent="0.25">
      <c r="D83" s="169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48"/>
      <c r="R83" s="48"/>
    </row>
    <row r="84" spans="4:18" hidden="1" x14ac:dyDescent="0.25">
      <c r="D84" s="169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</row>
    <row r="85" spans="4:18" hidden="1" x14ac:dyDescent="0.25"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</row>
    <row r="86" spans="4:18" hidden="1" x14ac:dyDescent="0.25">
      <c r="Q86"/>
      <c r="R86"/>
    </row>
    <row r="87" spans="4:18" hidden="1" x14ac:dyDescent="0.25">
      <c r="Q87"/>
      <c r="R87"/>
    </row>
  </sheetData>
  <sheetProtection algorithmName="SHA-512" hashValue="tUPIMa+o0HYe/Y0O2+HSuJj/NqsKrgq6pCsuBumGDCUoUM5PD2A4WL/m9c4DR3D7RE44O+AlHlXOaVFWMyqaXw==" saltValue="x+b9eMt+IkSA8vHXQu6Hdw==" spinCount="100000" sheet="1" selectLockedCells="1"/>
  <mergeCells count="89">
    <mergeCell ref="N29:N31"/>
    <mergeCell ref="O29:O31"/>
    <mergeCell ref="P29:P31"/>
    <mergeCell ref="I29:I31"/>
    <mergeCell ref="J29:J31"/>
    <mergeCell ref="K29:K31"/>
    <mergeCell ref="L29:L31"/>
    <mergeCell ref="M29:M31"/>
    <mergeCell ref="E29:E31"/>
    <mergeCell ref="C29:D31"/>
    <mergeCell ref="F29:F31"/>
    <mergeCell ref="G29:G31"/>
    <mergeCell ref="H29:H31"/>
    <mergeCell ref="C36:D36"/>
    <mergeCell ref="C37:D37"/>
    <mergeCell ref="C34:D34"/>
    <mergeCell ref="C22:D22"/>
    <mergeCell ref="C23:D23"/>
    <mergeCell ref="C25:D25"/>
    <mergeCell ref="C19:D19"/>
    <mergeCell ref="C20:D20"/>
    <mergeCell ref="C21:D21"/>
    <mergeCell ref="C24:D24"/>
    <mergeCell ref="C35:D35"/>
    <mergeCell ref="C32:D33"/>
    <mergeCell ref="C49:D49"/>
    <mergeCell ref="C38:D38"/>
    <mergeCell ref="C39:D39"/>
    <mergeCell ref="C40:D40"/>
    <mergeCell ref="C41:D41"/>
    <mergeCell ref="C42:D42"/>
    <mergeCell ref="C47:D47"/>
    <mergeCell ref="C44:D44"/>
    <mergeCell ref="C46:D46"/>
    <mergeCell ref="R3:AF4"/>
    <mergeCell ref="C3:P4"/>
    <mergeCell ref="C6:P7"/>
    <mergeCell ref="X29:AF30"/>
    <mergeCell ref="R29:W3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S21:S22"/>
    <mergeCell ref="T32:V32"/>
    <mergeCell ref="Z32:AA32"/>
    <mergeCell ref="AB32:AD32"/>
    <mergeCell ref="C59:D59"/>
    <mergeCell ref="C54:D54"/>
    <mergeCell ref="C55:D55"/>
    <mergeCell ref="C56:D56"/>
    <mergeCell ref="C57:D57"/>
    <mergeCell ref="C58:D58"/>
    <mergeCell ref="C50:D50"/>
    <mergeCell ref="C48:D48"/>
    <mergeCell ref="C51:D51"/>
    <mergeCell ref="C52:D52"/>
    <mergeCell ref="C53:D53"/>
    <mergeCell ref="C43:D43"/>
    <mergeCell ref="C45:D45"/>
    <mergeCell ref="S19:S20"/>
    <mergeCell ref="S14:S15"/>
    <mergeCell ref="S9:S10"/>
    <mergeCell ref="S11:S12"/>
    <mergeCell ref="S16:S17"/>
    <mergeCell ref="S36:T37"/>
    <mergeCell ref="S38:T39"/>
    <mergeCell ref="S41:T42"/>
    <mergeCell ref="S46:T47"/>
    <mergeCell ref="S48:T49"/>
    <mergeCell ref="S43:T44"/>
    <mergeCell ref="E32:E33"/>
    <mergeCell ref="F32:F33"/>
    <mergeCell ref="G32:G33"/>
    <mergeCell ref="H32:H33"/>
    <mergeCell ref="I32:I33"/>
    <mergeCell ref="O32:O33"/>
    <mergeCell ref="P32:P33"/>
    <mergeCell ref="J32:J33"/>
    <mergeCell ref="K32:K33"/>
    <mergeCell ref="L32:L33"/>
    <mergeCell ref="M32:M33"/>
    <mergeCell ref="N32:N33"/>
  </mergeCells>
  <phoneticPr fontId="4" type="noConversion"/>
  <conditionalFormatting sqref="S48">
    <cfRule type="expression" dxfId="0" priority="5">
      <formula>$S$48&lt;=0</formula>
    </cfRule>
  </conditionalFormatting>
  <conditionalFormatting sqref="S11:S12">
    <cfRule type="dataBar" priority="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{8620E253-9821-45AB-90A1-33AF2F8A3B47}</x14:id>
        </ext>
      </extLst>
    </cfRule>
  </conditionalFormatting>
  <conditionalFormatting sqref="S16:S17">
    <cfRule type="dataBar" priority="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{F23A9243-0630-415B-ADB9-AE66796B8A74}</x14:id>
        </ext>
      </extLst>
    </cfRule>
  </conditionalFormatting>
  <conditionalFormatting sqref="S21:S2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{3850644C-80DC-491F-B1A2-2566F06C8F1F}</x14:id>
        </ext>
      </extLst>
    </cfRule>
  </conditionalFormatting>
  <dataValidations count="1">
    <dataValidation type="list" allowBlank="1" showInputMessage="1" showErrorMessage="1" sqref="T32" xr:uid="{6E9C4B6C-8FF3-4002-9C2F-DF521E5531C2}">
      <formula1>$E$32:$P$32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20E253-9821-45AB-90A1-33AF2F8A3B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S11:S12</xm:sqref>
        </x14:conditionalFormatting>
        <x14:conditionalFormatting xmlns:xm="http://schemas.microsoft.com/office/excel/2006/main">
          <x14:cfRule type="dataBar" id="{F23A9243-0630-415B-ADB9-AE66796B8A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S16:S17</xm:sqref>
        </x14:conditionalFormatting>
        <x14:conditionalFormatting xmlns:xm="http://schemas.microsoft.com/office/excel/2006/main">
          <x14:cfRule type="dataBar" id="{3850644C-80DC-491F-B1A2-2566F06C8F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S21:S22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92C-F6E9-492A-95B3-2F42553D4D85}">
  <sheetPr>
    <tabColor theme="4" tint="-0.249977111117893"/>
  </sheetPr>
  <dimension ref="A1:BH562"/>
  <sheetViews>
    <sheetView showGridLines="0" tabSelected="1" workbookViewId="0">
      <selection activeCell="C11" sqref="C11:F13"/>
    </sheetView>
  </sheetViews>
  <sheetFormatPr defaultColWidth="0" defaultRowHeight="0" customHeight="1" zeroHeight="1" outlineLevelRow="1" x14ac:dyDescent="0.25"/>
  <cols>
    <col min="1" max="1" width="0.5703125" style="48" customWidth="1"/>
    <col min="2" max="2" width="1.42578125" style="48" customWidth="1"/>
    <col min="3" max="3" width="29.42578125" style="48" customWidth="1"/>
    <col min="4" max="4" width="33.42578125" style="48" customWidth="1"/>
    <col min="5" max="5" width="21" style="48" customWidth="1"/>
    <col min="6" max="6" width="12.140625" style="48" bestFit="1" customWidth="1"/>
    <col min="7" max="8" width="1.7109375" style="48" customWidth="1"/>
    <col min="9" max="17" width="9.140625" style="48" hidden="1" customWidth="1"/>
    <col min="18" max="18" width="1.5703125" style="48" hidden="1" customWidth="1"/>
    <col min="19" max="19" width="15.42578125" style="48" hidden="1" customWidth="1"/>
    <col min="20" max="20" width="9.140625" style="48" hidden="1" customWidth="1"/>
    <col min="21" max="21" width="15.7109375" style="48" hidden="1" customWidth="1"/>
    <col min="22" max="22" width="11.42578125" style="48" hidden="1" customWidth="1"/>
    <col min="23" max="23" width="18.5703125" style="48" hidden="1" customWidth="1"/>
    <col min="24" max="24" width="17" style="48" hidden="1" customWidth="1"/>
    <col min="25" max="25" width="13.28515625" style="48" hidden="1" customWidth="1"/>
    <col min="26" max="26" width="1.28515625" style="48" hidden="1" customWidth="1"/>
    <col min="27" max="27" width="6.7109375" style="48" hidden="1" customWidth="1"/>
    <col min="28" max="28" width="15.7109375" style="48" hidden="1" customWidth="1"/>
    <col min="29" max="29" width="11.42578125" style="48" hidden="1" customWidth="1"/>
    <col min="30" max="30" width="18.5703125" style="48" hidden="1" customWidth="1"/>
    <col min="31" max="31" width="17" style="48" hidden="1" customWidth="1"/>
    <col min="32" max="33" width="11.85546875" style="48" hidden="1" customWidth="1"/>
    <col min="34" max="34" width="1.28515625" style="48" hidden="1" customWidth="1"/>
    <col min="35" max="36" width="9.140625" style="48" hidden="1" customWidth="1"/>
    <col min="37" max="37" width="13.28515625" style="48" hidden="1" customWidth="1"/>
    <col min="38" max="39" width="9.140625" style="48" hidden="1" customWidth="1"/>
    <col min="40" max="40" width="20.5703125" style="48" hidden="1" customWidth="1"/>
    <col min="41" max="41" width="19.5703125" style="48" hidden="1" customWidth="1"/>
    <col min="42" max="42" width="1" style="48" hidden="1" customWidth="1"/>
    <col min="43" max="47" width="9.140625" style="48" hidden="1" customWidth="1"/>
    <col min="48" max="48" width="13.42578125" style="48" hidden="1" customWidth="1"/>
    <col min="49" max="49" width="11.85546875" style="48" hidden="1" customWidth="1"/>
    <col min="50" max="50" width="9.140625" style="48" hidden="1" customWidth="1"/>
    <col min="51" max="51" width="19.5703125" style="48" hidden="1" customWidth="1"/>
    <col min="52" max="52" width="1" style="48" hidden="1" customWidth="1"/>
    <col min="53" max="57" width="9.140625" style="48" hidden="1" customWidth="1"/>
    <col min="58" max="58" width="13.42578125" style="48" hidden="1" customWidth="1"/>
    <col min="59" max="59" width="11.85546875" style="48" hidden="1" customWidth="1"/>
    <col min="60" max="16384" width="9.140625" style="48" hidden="1"/>
  </cols>
  <sheetData>
    <row r="1" spans="2:11" ht="3.75" customHeight="1" thickBot="1" x14ac:dyDescent="0.3"/>
    <row r="2" spans="2:11" ht="15" customHeight="1" thickBot="1" x14ac:dyDescent="0.3">
      <c r="B2" s="51"/>
      <c r="C2" s="52"/>
      <c r="D2" s="52"/>
      <c r="E2" s="52"/>
      <c r="F2" s="52"/>
      <c r="G2" s="53"/>
    </row>
    <row r="3" spans="2:11" ht="15" customHeight="1" x14ac:dyDescent="0.25">
      <c r="B3" s="56"/>
      <c r="C3" s="383" t="s">
        <v>512</v>
      </c>
      <c r="D3" s="384"/>
      <c r="E3" s="384"/>
      <c r="F3" s="385"/>
      <c r="G3" s="59"/>
    </row>
    <row r="4" spans="2:11" ht="15" x14ac:dyDescent="0.25">
      <c r="B4" s="56"/>
      <c r="C4" s="386"/>
      <c r="D4" s="387"/>
      <c r="E4" s="387"/>
      <c r="F4" s="388"/>
      <c r="G4" s="59"/>
    </row>
    <row r="5" spans="2:11" ht="15.75" thickBot="1" x14ac:dyDescent="0.3">
      <c r="B5" s="56"/>
      <c r="C5" s="389"/>
      <c r="D5" s="390"/>
      <c r="E5" s="390"/>
      <c r="F5" s="391"/>
      <c r="G5" s="59"/>
    </row>
    <row r="6" spans="2:11" ht="15" customHeight="1" x14ac:dyDescent="0.25">
      <c r="B6" s="56"/>
      <c r="C6" s="332"/>
      <c r="D6" s="58"/>
      <c r="E6" s="58"/>
      <c r="F6" s="333"/>
      <c r="G6" s="59"/>
    </row>
    <row r="7" spans="2:11" ht="15" x14ac:dyDescent="0.25">
      <c r="B7" s="56"/>
      <c r="C7" s="332"/>
      <c r="D7" s="334"/>
      <c r="E7" s="58"/>
      <c r="F7" s="333"/>
      <c r="G7" s="59"/>
    </row>
    <row r="8" spans="2:11" ht="15" collapsed="1" x14ac:dyDescent="0.25">
      <c r="B8" s="56"/>
      <c r="C8" s="58"/>
      <c r="D8" s="58"/>
      <c r="E8" s="58"/>
      <c r="F8" s="58"/>
      <c r="G8" s="59"/>
    </row>
    <row r="9" spans="2:11" ht="15" x14ac:dyDescent="0.25">
      <c r="B9" s="56"/>
      <c r="C9" s="58"/>
      <c r="D9" s="58"/>
      <c r="E9" s="58"/>
      <c r="F9" s="58"/>
      <c r="G9" s="59"/>
    </row>
    <row r="10" spans="2:11" ht="15.75" thickBot="1" x14ac:dyDescent="0.3">
      <c r="B10" s="56"/>
      <c r="C10" s="58"/>
      <c r="D10" s="58"/>
      <c r="E10" s="58"/>
      <c r="F10" s="58"/>
      <c r="G10" s="59"/>
    </row>
    <row r="11" spans="2:11" ht="15" outlineLevel="1" x14ac:dyDescent="0.25">
      <c r="B11" s="56"/>
      <c r="C11" s="392" t="s">
        <v>517</v>
      </c>
      <c r="D11" s="393"/>
      <c r="E11" s="393"/>
      <c r="F11" s="394"/>
      <c r="G11" s="59"/>
    </row>
    <row r="12" spans="2:11" ht="15" outlineLevel="1" x14ac:dyDescent="0.25">
      <c r="B12" s="56"/>
      <c r="C12" s="395"/>
      <c r="D12" s="396"/>
      <c r="E12" s="396"/>
      <c r="F12" s="397"/>
      <c r="G12" s="59"/>
    </row>
    <row r="13" spans="2:11" ht="15.75" outlineLevel="1" thickBot="1" x14ac:dyDescent="0.3">
      <c r="B13" s="56"/>
      <c r="C13" s="398"/>
      <c r="D13" s="399"/>
      <c r="E13" s="399"/>
      <c r="F13" s="400"/>
      <c r="G13" s="59"/>
    </row>
    <row r="14" spans="2:11" ht="15.75" outlineLevel="1" thickBot="1" x14ac:dyDescent="0.3">
      <c r="B14" s="56"/>
      <c r="C14" s="339"/>
      <c r="D14" s="331"/>
      <c r="E14" s="340"/>
      <c r="F14" s="331"/>
      <c r="G14" s="59"/>
    </row>
    <row r="15" spans="2:11" ht="15" customHeight="1" outlineLevel="1" x14ac:dyDescent="0.25">
      <c r="B15" s="56"/>
      <c r="C15" s="392" t="s">
        <v>516</v>
      </c>
      <c r="D15" s="393"/>
      <c r="E15" s="393"/>
      <c r="F15" s="394"/>
      <c r="G15" s="59"/>
      <c r="I15" s="335"/>
      <c r="J15" s="335"/>
      <c r="K15" s="336"/>
    </row>
    <row r="16" spans="2:11" ht="15" customHeight="1" outlineLevel="1" x14ac:dyDescent="0.25">
      <c r="B16" s="56"/>
      <c r="C16" s="395"/>
      <c r="D16" s="396"/>
      <c r="E16" s="396"/>
      <c r="F16" s="397"/>
      <c r="G16" s="59"/>
      <c r="I16" s="337"/>
      <c r="J16" s="337"/>
      <c r="K16" s="338"/>
    </row>
    <row r="17" spans="2:11" ht="15" customHeight="1" outlineLevel="1" thickBot="1" x14ac:dyDescent="0.3">
      <c r="B17" s="56"/>
      <c r="C17" s="398"/>
      <c r="D17" s="399"/>
      <c r="E17" s="399"/>
      <c r="F17" s="400"/>
      <c r="G17" s="59"/>
      <c r="I17" s="337"/>
      <c r="J17" s="337"/>
      <c r="K17" s="338"/>
    </row>
    <row r="18" spans="2:11" ht="15" customHeight="1" outlineLevel="1" thickBot="1" x14ac:dyDescent="0.3">
      <c r="B18" s="56"/>
      <c r="C18" s="104"/>
      <c r="D18" s="104"/>
      <c r="E18" s="104"/>
      <c r="F18" s="104"/>
      <c r="G18" s="59"/>
      <c r="I18" s="337"/>
      <c r="J18" s="337"/>
      <c r="K18" s="338"/>
    </row>
    <row r="19" spans="2:11" ht="15" outlineLevel="1" x14ac:dyDescent="0.25">
      <c r="B19" s="56"/>
      <c r="C19" s="401" t="s">
        <v>513</v>
      </c>
      <c r="D19" s="402"/>
      <c r="E19" s="402"/>
      <c r="F19" s="403"/>
      <c r="G19" s="59"/>
    </row>
    <row r="20" spans="2:11" ht="15.75" outlineLevel="1" thickBot="1" x14ac:dyDescent="0.3">
      <c r="B20" s="56"/>
      <c r="C20" s="404"/>
      <c r="D20" s="405"/>
      <c r="E20" s="405"/>
      <c r="F20" s="406"/>
      <c r="G20" s="59"/>
    </row>
    <row r="21" spans="2:11" ht="15" customHeight="1" outlineLevel="1" x14ac:dyDescent="0.25">
      <c r="B21" s="56"/>
      <c r="C21" s="404"/>
      <c r="D21" s="405"/>
      <c r="E21" s="405"/>
      <c r="F21" s="406"/>
      <c r="G21" s="59"/>
      <c r="I21" s="342"/>
      <c r="J21" s="342"/>
      <c r="K21" s="343"/>
    </row>
    <row r="22" spans="2:11" ht="15" customHeight="1" outlineLevel="1" x14ac:dyDescent="0.25">
      <c r="B22" s="56"/>
      <c r="C22" s="404"/>
      <c r="D22" s="405"/>
      <c r="E22" s="405"/>
      <c r="F22" s="406"/>
      <c r="G22" s="59"/>
      <c r="I22" s="344"/>
      <c r="J22" s="344"/>
      <c r="K22" s="345"/>
    </row>
    <row r="23" spans="2:11" ht="15" customHeight="1" outlineLevel="1" thickBot="1" x14ac:dyDescent="0.3">
      <c r="B23" s="56"/>
      <c r="C23" s="407"/>
      <c r="D23" s="408"/>
      <c r="E23" s="408"/>
      <c r="F23" s="409"/>
      <c r="G23" s="59"/>
      <c r="I23" s="344"/>
      <c r="J23" s="344"/>
      <c r="K23" s="345"/>
    </row>
    <row r="24" spans="2:11" ht="15.75" customHeight="1" outlineLevel="1" collapsed="1" thickBot="1" x14ac:dyDescent="0.3">
      <c r="B24" s="56"/>
      <c r="C24" s="104"/>
      <c r="D24" s="104"/>
      <c r="E24" s="104"/>
      <c r="F24" s="104"/>
      <c r="G24" s="59"/>
      <c r="I24" s="346"/>
      <c r="J24" s="346"/>
      <c r="K24" s="347"/>
    </row>
    <row r="25" spans="2:11" ht="15.75" customHeight="1" outlineLevel="1" x14ac:dyDescent="0.25">
      <c r="B25" s="56"/>
      <c r="C25" s="410" t="s">
        <v>514</v>
      </c>
      <c r="D25" s="411"/>
      <c r="E25" s="411"/>
      <c r="F25" s="412"/>
      <c r="G25" s="59"/>
      <c r="I25" s="348"/>
      <c r="J25" s="348"/>
      <c r="K25" s="348"/>
    </row>
    <row r="26" spans="2:11" ht="15.75" customHeight="1" outlineLevel="1" x14ac:dyDescent="0.25">
      <c r="B26" s="56"/>
      <c r="C26" s="413"/>
      <c r="D26" s="414"/>
      <c r="E26" s="414"/>
      <c r="F26" s="415"/>
      <c r="G26" s="59"/>
      <c r="I26" s="348"/>
      <c r="J26" s="348"/>
      <c r="K26" s="348"/>
    </row>
    <row r="27" spans="2:11" ht="15.75" customHeight="1" outlineLevel="1" x14ac:dyDescent="0.25">
      <c r="B27" s="56"/>
      <c r="C27" s="413"/>
      <c r="D27" s="414"/>
      <c r="E27" s="414"/>
      <c r="F27" s="415"/>
      <c r="G27" s="59"/>
      <c r="I27" s="348"/>
      <c r="J27" s="348"/>
      <c r="K27" s="348"/>
    </row>
    <row r="28" spans="2:11" ht="15.75" customHeight="1" outlineLevel="1" thickBot="1" x14ac:dyDescent="0.3">
      <c r="B28" s="56"/>
      <c r="C28" s="416"/>
      <c r="D28" s="417"/>
      <c r="E28" s="417"/>
      <c r="F28" s="418"/>
      <c r="G28" s="59"/>
      <c r="I28" s="348"/>
      <c r="J28" s="348"/>
      <c r="K28" s="348"/>
    </row>
    <row r="29" spans="2:11" ht="15" customHeight="1" thickBot="1" x14ac:dyDescent="0.3">
      <c r="B29" s="56"/>
      <c r="C29" s="58"/>
      <c r="D29" s="58"/>
      <c r="E29" s="331"/>
      <c r="F29" s="58"/>
      <c r="G29" s="59"/>
    </row>
    <row r="30" spans="2:11" ht="15" customHeight="1" x14ac:dyDescent="0.25">
      <c r="B30" s="56"/>
      <c r="C30" s="64"/>
      <c r="D30" s="352"/>
      <c r="E30" s="64"/>
      <c r="F30" s="64"/>
      <c r="G30" s="59"/>
    </row>
    <row r="31" spans="2:11" ht="15" customHeight="1" outlineLevel="1" x14ac:dyDescent="0.25">
      <c r="B31" s="56"/>
      <c r="C31" s="339"/>
      <c r="D31" s="353"/>
      <c r="E31" s="331"/>
      <c r="F31" s="341"/>
      <c r="G31" s="59"/>
    </row>
    <row r="32" spans="2:11" ht="15" outlineLevel="1" x14ac:dyDescent="0.25">
      <c r="B32" s="56"/>
      <c r="C32" s="339"/>
      <c r="D32" s="353"/>
      <c r="E32" s="331"/>
      <c r="F32" s="341"/>
      <c r="G32" s="59"/>
    </row>
    <row r="33" spans="2:7" ht="15" outlineLevel="1" x14ac:dyDescent="0.25">
      <c r="B33" s="56"/>
      <c r="C33" s="339"/>
      <c r="D33" s="353"/>
      <c r="E33" s="331"/>
      <c r="F33" s="341"/>
      <c r="G33" s="59"/>
    </row>
    <row r="34" spans="2:7" ht="15.75" outlineLevel="1" thickBot="1" x14ac:dyDescent="0.3">
      <c r="B34" s="56"/>
      <c r="C34" s="339"/>
      <c r="D34" s="354"/>
      <c r="E34" s="331"/>
      <c r="F34" s="341"/>
      <c r="G34" s="59"/>
    </row>
    <row r="35" spans="2:7" ht="15.75" outlineLevel="1" thickBot="1" x14ac:dyDescent="0.3">
      <c r="B35" s="113"/>
      <c r="C35" s="349"/>
      <c r="D35" s="349"/>
      <c r="E35" s="350"/>
      <c r="F35" s="351"/>
      <c r="G35" s="115"/>
    </row>
    <row r="36" spans="2:7" ht="15" outlineLevel="1" x14ac:dyDescent="0.25">
      <c r="B36" s="48" t="s">
        <v>515</v>
      </c>
    </row>
    <row r="37" spans="2:7" ht="15" hidden="1" outlineLevel="1" x14ac:dyDescent="0.25"/>
    <row r="38" spans="2:7" ht="15" hidden="1" outlineLevel="1" x14ac:dyDescent="0.25"/>
    <row r="39" spans="2:7" ht="15" hidden="1" outlineLevel="1" x14ac:dyDescent="0.25"/>
    <row r="40" spans="2:7" ht="15" hidden="1" outlineLevel="1" x14ac:dyDescent="0.25"/>
    <row r="41" spans="2:7" ht="15" hidden="1" outlineLevel="1" x14ac:dyDescent="0.25"/>
    <row r="42" spans="2:7" ht="15" hidden="1" outlineLevel="1" x14ac:dyDescent="0.25"/>
    <row r="43" spans="2:7" ht="15" hidden="1" customHeight="1" outlineLevel="1" x14ac:dyDescent="0.25"/>
    <row r="44" spans="2:7" ht="15" hidden="1" outlineLevel="1" x14ac:dyDescent="0.25"/>
    <row r="45" spans="2:7" ht="15" hidden="1" customHeight="1" outlineLevel="1" x14ac:dyDescent="0.25"/>
    <row r="46" spans="2:7" ht="15" hidden="1" outlineLevel="1" x14ac:dyDescent="0.25"/>
    <row r="47" spans="2:7" ht="15" hidden="1" outlineLevel="1" x14ac:dyDescent="0.25"/>
    <row r="48" spans="2:7" ht="15" hidden="1" outlineLevel="1" x14ac:dyDescent="0.25"/>
    <row r="49" spans="1:60" ht="15" hidden="1" outlineLevel="1" x14ac:dyDescent="0.25"/>
    <row r="50" spans="1:60" ht="15" hidden="1" customHeight="1" x14ac:dyDescent="0.25"/>
    <row r="51" spans="1:60" ht="15" hidden="1" customHeight="1" x14ac:dyDescent="0.25"/>
    <row r="52" spans="1:60" s="50" customFormat="1" ht="15" hidden="1" customHeight="1" outlineLevel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</row>
    <row r="53" spans="1:60" s="50" customFormat="1" ht="15" hidden="1" outlineLevel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</row>
    <row r="54" spans="1:60" s="50" customFormat="1" ht="15" hidden="1" outlineLevel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1:60" s="50" customFormat="1" ht="15" hidden="1" customHeight="1" outlineLevel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:60" s="50" customFormat="1" ht="15" hidden="1" outlineLevel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</row>
    <row r="57" spans="1:60" s="50" customFormat="1" ht="15" hidden="1" outlineLevel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</row>
    <row r="58" spans="1:60" s="50" customFormat="1" ht="15" hidden="1" outlineLevel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</row>
    <row r="59" spans="1:60" s="50" customFormat="1" ht="15" hidden="1" outlineLevel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</row>
    <row r="60" spans="1:60" s="50" customFormat="1" ht="15" hidden="1" outlineLevel="1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</row>
    <row r="61" spans="1:60" s="50" customFormat="1" ht="15" hidden="1" outlineLevel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</row>
    <row r="62" spans="1:60" s="50" customFormat="1" ht="15" hidden="1" outlineLevel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</row>
    <row r="63" spans="1:60" s="50" customFormat="1" ht="15" hidden="1" outlineLevel="1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</row>
    <row r="64" spans="1:60" s="50" customFormat="1" ht="15" hidden="1" outlineLevel="1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</row>
    <row r="65" spans="1:60" s="50" customFormat="1" ht="15" hidden="1" outlineLevel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</row>
    <row r="66" spans="1:60" s="50" customFormat="1" ht="15" hidden="1" outlineLevel="1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</row>
    <row r="67" spans="1:60" s="50" customFormat="1" ht="15" hidden="1" outlineLevel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</row>
    <row r="68" spans="1:60" ht="15" hidden="1" outlineLevel="1" x14ac:dyDescent="0.25"/>
    <row r="69" spans="1:60" ht="15" hidden="1" outlineLevel="1" x14ac:dyDescent="0.25"/>
    <row r="70" spans="1:60" ht="15" hidden="1" outlineLevel="1" x14ac:dyDescent="0.25"/>
    <row r="71" spans="1:60" ht="15" hidden="1" outlineLevel="1" x14ac:dyDescent="0.25"/>
    <row r="72" spans="1:60" ht="15" hidden="1" customHeight="1" collapsed="1" x14ac:dyDescent="0.25"/>
    <row r="73" spans="1:60" ht="15" hidden="1" customHeight="1" x14ac:dyDescent="0.25"/>
    <row r="74" spans="1:60" ht="15" hidden="1" customHeight="1" outlineLevel="1" x14ac:dyDescent="0.25"/>
    <row r="75" spans="1:60" ht="15" hidden="1" outlineLevel="1" x14ac:dyDescent="0.25"/>
    <row r="76" spans="1:60" ht="15" hidden="1" outlineLevel="1" x14ac:dyDescent="0.25"/>
    <row r="77" spans="1:60" ht="15" hidden="1" outlineLevel="1" x14ac:dyDescent="0.25"/>
    <row r="78" spans="1:60" ht="15" hidden="1" outlineLevel="1" x14ac:dyDescent="0.25"/>
    <row r="79" spans="1:60" ht="15" hidden="1" outlineLevel="1" x14ac:dyDescent="0.25"/>
    <row r="80" spans="1:60" ht="15" hidden="1" outlineLevel="1" x14ac:dyDescent="0.25"/>
    <row r="81" s="48" customFormat="1" ht="15" hidden="1" outlineLevel="1" x14ac:dyDescent="0.25"/>
    <row r="82" s="48" customFormat="1" ht="15" hidden="1" outlineLevel="1" x14ac:dyDescent="0.25"/>
    <row r="83" s="48" customFormat="1" ht="15" hidden="1" outlineLevel="1" x14ac:dyDescent="0.25"/>
    <row r="84" s="48" customFormat="1" ht="15" hidden="1" outlineLevel="1" x14ac:dyDescent="0.25"/>
    <row r="85" s="48" customFormat="1" ht="15" hidden="1" outlineLevel="1" x14ac:dyDescent="0.25"/>
    <row r="86" s="48" customFormat="1" ht="15" hidden="1" outlineLevel="1" x14ac:dyDescent="0.25"/>
    <row r="87" s="48" customFormat="1" ht="15" hidden="1" outlineLevel="1" x14ac:dyDescent="0.25"/>
    <row r="88" s="48" customFormat="1" ht="15" hidden="1" outlineLevel="1" x14ac:dyDescent="0.25"/>
    <row r="89" s="48" customFormat="1" ht="15" hidden="1" outlineLevel="1" x14ac:dyDescent="0.25"/>
    <row r="90" s="48" customFormat="1" ht="15" hidden="1" outlineLevel="1" x14ac:dyDescent="0.25"/>
    <row r="91" s="48" customFormat="1" ht="15" hidden="1" outlineLevel="1" x14ac:dyDescent="0.25"/>
    <row r="92" s="48" customFormat="1" ht="15" hidden="1" outlineLevel="1" x14ac:dyDescent="0.25"/>
    <row r="93" s="48" customFormat="1" ht="15" hidden="1" outlineLevel="1" x14ac:dyDescent="0.25"/>
    <row r="94" s="48" customFormat="1" ht="15" hidden="1" outlineLevel="1" x14ac:dyDescent="0.25"/>
    <row r="95" s="48" customFormat="1" ht="15" hidden="1" customHeight="1" collapsed="1" x14ac:dyDescent="0.25"/>
    <row r="96" s="48" customFormat="1" ht="15" hidden="1" customHeight="1" x14ac:dyDescent="0.25"/>
    <row r="97" s="48" customFormat="1" ht="15" hidden="1" customHeight="1" outlineLevel="1" x14ac:dyDescent="0.25"/>
    <row r="98" s="48" customFormat="1" ht="15" hidden="1" outlineLevel="1" x14ac:dyDescent="0.25"/>
    <row r="99" s="48" customFormat="1" ht="15" hidden="1" outlineLevel="1" x14ac:dyDescent="0.25"/>
    <row r="100" s="48" customFormat="1" ht="15" hidden="1" customHeight="1" collapsed="1" x14ac:dyDescent="0.25"/>
    <row r="101" s="48" customFormat="1" ht="15" hidden="1" customHeight="1" x14ac:dyDescent="0.25"/>
    <row r="102" s="48" customFormat="1" ht="15" hidden="1" outlineLevel="1" x14ac:dyDescent="0.25"/>
    <row r="103" s="48" customFormat="1" ht="15" hidden="1" outlineLevel="1" x14ac:dyDescent="0.25"/>
    <row r="104" s="48" customFormat="1" ht="15" hidden="1" outlineLevel="1" x14ac:dyDescent="0.25"/>
    <row r="105" s="48" customFormat="1" ht="15" hidden="1" outlineLevel="1" x14ac:dyDescent="0.25"/>
    <row r="106" s="48" customFormat="1" ht="15" hidden="1" customHeight="1" collapsed="1" x14ac:dyDescent="0.25"/>
    <row r="107" s="48" customFormat="1" ht="15" hidden="1" customHeight="1" x14ac:dyDescent="0.25"/>
    <row r="108" s="48" customFormat="1" ht="15" hidden="1" customHeight="1" outlineLevel="1" x14ac:dyDescent="0.25"/>
    <row r="109" s="48" customFormat="1" ht="15" hidden="1" outlineLevel="1" x14ac:dyDescent="0.25"/>
    <row r="110" s="48" customFormat="1" ht="15" hidden="1" outlineLevel="1" x14ac:dyDescent="0.25"/>
    <row r="111" s="48" customFormat="1" ht="15" hidden="1" outlineLevel="1" x14ac:dyDescent="0.25"/>
    <row r="112" s="48" customFormat="1" ht="15" hidden="1" outlineLevel="1" x14ac:dyDescent="0.25"/>
    <row r="113" s="48" customFormat="1" ht="15" hidden="1" outlineLevel="1" x14ac:dyDescent="0.25"/>
    <row r="114" s="48" customFormat="1" ht="15" hidden="1" outlineLevel="1" x14ac:dyDescent="0.25"/>
    <row r="115" s="48" customFormat="1" ht="15" hidden="1" outlineLevel="1" x14ac:dyDescent="0.25"/>
    <row r="116" s="48" customFormat="1" ht="15" hidden="1" outlineLevel="1" x14ac:dyDescent="0.25"/>
    <row r="117" s="48" customFormat="1" ht="15" hidden="1" outlineLevel="1" x14ac:dyDescent="0.25"/>
    <row r="118" s="48" customFormat="1" ht="15" hidden="1" outlineLevel="1" x14ac:dyDescent="0.25"/>
    <row r="119" s="48" customFormat="1" ht="15" hidden="1" outlineLevel="1" x14ac:dyDescent="0.25"/>
    <row r="120" s="48" customFormat="1" ht="15" hidden="1" outlineLevel="1" x14ac:dyDescent="0.25"/>
    <row r="121" s="48" customFormat="1" ht="15" hidden="1" outlineLevel="1" x14ac:dyDescent="0.25"/>
    <row r="122" s="48" customFormat="1" ht="15" hidden="1" outlineLevel="1" x14ac:dyDescent="0.25"/>
    <row r="123" s="48" customFormat="1" ht="15" hidden="1" outlineLevel="1" x14ac:dyDescent="0.25"/>
    <row r="124" s="48" customFormat="1" ht="15" hidden="1" outlineLevel="1" x14ac:dyDescent="0.25"/>
    <row r="125" s="48" customFormat="1" ht="15" hidden="1" outlineLevel="1" x14ac:dyDescent="0.25"/>
    <row r="126" s="48" customFormat="1" ht="15" hidden="1" outlineLevel="1" x14ac:dyDescent="0.25"/>
    <row r="127" s="48" customFormat="1" ht="15" hidden="1" outlineLevel="1" x14ac:dyDescent="0.25"/>
    <row r="128" s="48" customFormat="1" ht="15" hidden="1" outlineLevel="1" x14ac:dyDescent="0.25"/>
    <row r="129" s="48" customFormat="1" ht="15" hidden="1" outlineLevel="1" x14ac:dyDescent="0.25"/>
    <row r="130" s="48" customFormat="1" ht="15" hidden="1" outlineLevel="1" x14ac:dyDescent="0.25"/>
    <row r="131" s="48" customFormat="1" ht="15" hidden="1" outlineLevel="1" x14ac:dyDescent="0.25"/>
    <row r="132" s="48" customFormat="1" ht="15" hidden="1" customHeight="1" collapsed="1" x14ac:dyDescent="0.25"/>
    <row r="133" s="48" customFormat="1" ht="15" hidden="1" customHeight="1" x14ac:dyDescent="0.25"/>
    <row r="134" s="48" customFormat="1" ht="15" hidden="1" outlineLevel="1" x14ac:dyDescent="0.25"/>
    <row r="135" s="48" customFormat="1" ht="15" hidden="1" outlineLevel="1" x14ac:dyDescent="0.25"/>
    <row r="136" s="48" customFormat="1" ht="15" hidden="1" outlineLevel="1" x14ac:dyDescent="0.25"/>
    <row r="137" s="48" customFormat="1" ht="15" hidden="1" outlineLevel="1" x14ac:dyDescent="0.25"/>
    <row r="138" s="48" customFormat="1" ht="15" hidden="1" outlineLevel="1" x14ac:dyDescent="0.25"/>
    <row r="139" s="48" customFormat="1" ht="15" hidden="1" outlineLevel="1" x14ac:dyDescent="0.25"/>
    <row r="140" s="48" customFormat="1" ht="15" hidden="1" outlineLevel="1" x14ac:dyDescent="0.25"/>
    <row r="141" s="48" customFormat="1" ht="15" hidden="1" outlineLevel="1" x14ac:dyDescent="0.25"/>
    <row r="142" s="48" customFormat="1" ht="15" hidden="1" outlineLevel="1" x14ac:dyDescent="0.25"/>
    <row r="143" s="48" customFormat="1" ht="15" hidden="1" outlineLevel="1" x14ac:dyDescent="0.25"/>
    <row r="144" s="48" customFormat="1" ht="15" hidden="1" outlineLevel="1" x14ac:dyDescent="0.25"/>
    <row r="145" s="48" customFormat="1" ht="15" hidden="1" outlineLevel="1" x14ac:dyDescent="0.25"/>
    <row r="146" s="48" customFormat="1" ht="15" hidden="1" outlineLevel="1" x14ac:dyDescent="0.25"/>
    <row r="147" s="48" customFormat="1" ht="15" hidden="1" outlineLevel="1" x14ac:dyDescent="0.25"/>
    <row r="148" s="48" customFormat="1" ht="15" hidden="1" outlineLevel="1" x14ac:dyDescent="0.25"/>
    <row r="149" s="48" customFormat="1" ht="15" hidden="1" outlineLevel="1" x14ac:dyDescent="0.25"/>
    <row r="150" s="48" customFormat="1" ht="15" hidden="1" outlineLevel="1" x14ac:dyDescent="0.25"/>
    <row r="151" s="48" customFormat="1" ht="15" hidden="1" customHeight="1" collapsed="1" x14ac:dyDescent="0.25"/>
    <row r="152" s="48" customFormat="1" ht="0" hidden="1" customHeight="1" x14ac:dyDescent="0.25"/>
    <row r="153" s="48" customFormat="1" ht="15" hidden="1" outlineLevel="1" x14ac:dyDescent="0.25"/>
    <row r="154" s="48" customFormat="1" ht="15" hidden="1" outlineLevel="1" x14ac:dyDescent="0.25"/>
    <row r="155" s="48" customFormat="1" ht="15" hidden="1" outlineLevel="1" x14ac:dyDescent="0.25"/>
    <row r="156" s="48" customFormat="1" ht="15" hidden="1" outlineLevel="1" x14ac:dyDescent="0.25"/>
    <row r="157" s="48" customFormat="1" ht="15" hidden="1" outlineLevel="1" x14ac:dyDescent="0.25"/>
    <row r="158" s="48" customFormat="1" ht="15" hidden="1" outlineLevel="1" x14ac:dyDescent="0.25"/>
    <row r="159" s="48" customFormat="1" ht="15" hidden="1" outlineLevel="1" x14ac:dyDescent="0.25"/>
    <row r="160" s="48" customFormat="1" ht="15" hidden="1" outlineLevel="1" x14ac:dyDescent="0.25"/>
    <row r="161" s="48" customFormat="1" ht="15" hidden="1" outlineLevel="1" x14ac:dyDescent="0.25"/>
    <row r="162" s="48" customFormat="1" ht="15" hidden="1" outlineLevel="1" x14ac:dyDescent="0.25"/>
    <row r="163" s="48" customFormat="1" ht="15" hidden="1" outlineLevel="1" x14ac:dyDescent="0.25"/>
    <row r="164" s="48" customFormat="1" ht="15" hidden="1" outlineLevel="1" x14ac:dyDescent="0.25"/>
    <row r="165" s="48" customFormat="1" ht="15" hidden="1" outlineLevel="1" x14ac:dyDescent="0.25"/>
    <row r="166" s="48" customFormat="1" ht="15" hidden="1" outlineLevel="1" x14ac:dyDescent="0.25"/>
    <row r="167" s="48" customFormat="1" ht="14.25" hidden="1" customHeight="1" outlineLevel="1" x14ac:dyDescent="0.25"/>
    <row r="168" s="48" customFormat="1" ht="15" hidden="1" outlineLevel="1" x14ac:dyDescent="0.25"/>
    <row r="169" s="48" customFormat="1" ht="14.45" hidden="1" customHeight="1" collapsed="1" x14ac:dyDescent="0.25"/>
    <row r="170" s="48" customFormat="1" ht="0" hidden="1" customHeight="1" x14ac:dyDescent="0.25"/>
    <row r="171" s="48" customFormat="1" ht="15" hidden="1" customHeight="1" outlineLevel="1" x14ac:dyDescent="0.25"/>
    <row r="172" s="48" customFormat="1" ht="15" hidden="1" outlineLevel="1" x14ac:dyDescent="0.25"/>
    <row r="173" s="48" customFormat="1" ht="15" hidden="1" outlineLevel="1" x14ac:dyDescent="0.25"/>
    <row r="174" s="48" customFormat="1" ht="15" hidden="1" outlineLevel="1" x14ac:dyDescent="0.25"/>
    <row r="175" s="48" customFormat="1" ht="15" hidden="1" outlineLevel="1" x14ac:dyDescent="0.25"/>
    <row r="176" s="48" customFormat="1" ht="15" hidden="1" outlineLevel="1" x14ac:dyDescent="0.25"/>
    <row r="177" s="48" customFormat="1" ht="15" hidden="1" outlineLevel="1" x14ac:dyDescent="0.25"/>
    <row r="178" s="48" customFormat="1" ht="14.45" hidden="1" customHeight="1" collapsed="1" x14ac:dyDescent="0.25"/>
    <row r="179" s="48" customFormat="1" ht="0" hidden="1" customHeight="1" x14ac:dyDescent="0.25"/>
    <row r="180" s="48" customFormat="1" ht="15" hidden="1" customHeight="1" outlineLevel="1" x14ac:dyDescent="0.25"/>
    <row r="181" s="48" customFormat="1" ht="15" hidden="1" outlineLevel="1" x14ac:dyDescent="0.25"/>
    <row r="182" s="48" customFormat="1" ht="15" hidden="1" outlineLevel="1" x14ac:dyDescent="0.25"/>
    <row r="183" s="48" customFormat="1" ht="15" hidden="1" outlineLevel="1" x14ac:dyDescent="0.25"/>
    <row r="184" s="48" customFormat="1" ht="15" hidden="1" outlineLevel="1" x14ac:dyDescent="0.25"/>
    <row r="185" s="48" customFormat="1" ht="15" hidden="1" outlineLevel="1" x14ac:dyDescent="0.25"/>
    <row r="186" s="48" customFormat="1" ht="15" hidden="1" outlineLevel="1" x14ac:dyDescent="0.25"/>
    <row r="187" s="48" customFormat="1" ht="15" hidden="1" outlineLevel="1" x14ac:dyDescent="0.25"/>
    <row r="188" s="48" customFormat="1" ht="15" hidden="1" outlineLevel="1" x14ac:dyDescent="0.25"/>
    <row r="189" s="48" customFormat="1" ht="15" hidden="1" outlineLevel="1" x14ac:dyDescent="0.25"/>
    <row r="190" s="48" customFormat="1" ht="15" hidden="1" outlineLevel="1" x14ac:dyDescent="0.25"/>
    <row r="191" s="48" customFormat="1" ht="15" hidden="1" outlineLevel="1" x14ac:dyDescent="0.25"/>
    <row r="192" s="48" customFormat="1" ht="15" hidden="1" outlineLevel="1" x14ac:dyDescent="0.25"/>
    <row r="193" s="48" customFormat="1" ht="15" hidden="1" outlineLevel="1" x14ac:dyDescent="0.25"/>
    <row r="194" s="48" customFormat="1" ht="15" hidden="1" outlineLevel="1" x14ac:dyDescent="0.25"/>
    <row r="195" s="48" customFormat="1" ht="15" hidden="1" outlineLevel="1" x14ac:dyDescent="0.25"/>
    <row r="196" s="48" customFormat="1" ht="15" hidden="1" outlineLevel="1" x14ac:dyDescent="0.25"/>
    <row r="197" s="48" customFormat="1" ht="15" hidden="1" outlineLevel="1" x14ac:dyDescent="0.25"/>
    <row r="198" s="48" customFormat="1" ht="15" hidden="1" outlineLevel="1" x14ac:dyDescent="0.25"/>
    <row r="199" s="48" customFormat="1" ht="15" hidden="1" outlineLevel="1" x14ac:dyDescent="0.25"/>
    <row r="200" s="48" customFormat="1" ht="15" hidden="1" outlineLevel="1" x14ac:dyDescent="0.25"/>
    <row r="201" s="48" customFormat="1" ht="15" hidden="1" outlineLevel="1" x14ac:dyDescent="0.25"/>
    <row r="202" s="48" customFormat="1" ht="15" hidden="1" outlineLevel="1" x14ac:dyDescent="0.25"/>
    <row r="203" s="48" customFormat="1" ht="15" hidden="1" outlineLevel="1" x14ac:dyDescent="0.25"/>
    <row r="204" s="48" customFormat="1" ht="15" hidden="1" outlineLevel="1" x14ac:dyDescent="0.25"/>
    <row r="205" s="48" customFormat="1" ht="14.45" hidden="1" customHeight="1" collapsed="1" x14ac:dyDescent="0.25"/>
    <row r="206" s="48" customFormat="1" ht="0" hidden="1" customHeight="1" x14ac:dyDescent="0.25"/>
    <row r="207" s="48" customFormat="1" ht="15" hidden="1" outlineLevel="1" x14ac:dyDescent="0.25"/>
    <row r="208" s="48" customFormat="1" ht="15" hidden="1" outlineLevel="1" x14ac:dyDescent="0.25"/>
    <row r="209" s="48" customFormat="1" ht="15" hidden="1" outlineLevel="1" x14ac:dyDescent="0.25"/>
    <row r="210" s="48" customFormat="1" ht="15" hidden="1" outlineLevel="1" x14ac:dyDescent="0.25"/>
    <row r="211" s="48" customFormat="1" ht="15" hidden="1" outlineLevel="1" x14ac:dyDescent="0.25"/>
    <row r="212" s="48" customFormat="1" ht="15" hidden="1" outlineLevel="1" x14ac:dyDescent="0.25"/>
    <row r="213" s="48" customFormat="1" ht="15" hidden="1" outlineLevel="1" x14ac:dyDescent="0.25"/>
    <row r="214" s="48" customFormat="1" ht="15" hidden="1" outlineLevel="1" x14ac:dyDescent="0.25"/>
    <row r="215" s="48" customFormat="1" ht="14.45" hidden="1" customHeight="1" collapsed="1" x14ac:dyDescent="0.25"/>
    <row r="216" s="48" customFormat="1" ht="0" hidden="1" customHeight="1" x14ac:dyDescent="0.25"/>
    <row r="217" s="48" customFormat="1" ht="0" hidden="1" customHeight="1" x14ac:dyDescent="0.25"/>
    <row r="218" s="48" customFormat="1" ht="0" hidden="1" customHeight="1" x14ac:dyDescent="0.25"/>
    <row r="219" s="48" customFormat="1" ht="0" hidden="1" customHeight="1" x14ac:dyDescent="0.25"/>
    <row r="220" s="48" customFormat="1" ht="0" hidden="1" customHeight="1" x14ac:dyDescent="0.25"/>
    <row r="221" s="48" customFormat="1" ht="0" hidden="1" customHeight="1" x14ac:dyDescent="0.25"/>
    <row r="222" s="48" customFormat="1" ht="0" hidden="1" customHeight="1" x14ac:dyDescent="0.25"/>
    <row r="223" s="48" customFormat="1" ht="0" hidden="1" customHeight="1" x14ac:dyDescent="0.25"/>
    <row r="224" s="48" customFormat="1" ht="0" hidden="1" customHeight="1" x14ac:dyDescent="0.25"/>
    <row r="225" s="48" customFormat="1" ht="0" hidden="1" customHeight="1" x14ac:dyDescent="0.25"/>
    <row r="226" s="48" customFormat="1" ht="0" hidden="1" customHeight="1" x14ac:dyDescent="0.25"/>
    <row r="227" s="48" customFormat="1" ht="0" hidden="1" customHeight="1" x14ac:dyDescent="0.25"/>
    <row r="228" s="48" customFormat="1" ht="0" hidden="1" customHeight="1" x14ac:dyDescent="0.25"/>
    <row r="229" s="48" customFormat="1" ht="0" hidden="1" customHeight="1" x14ac:dyDescent="0.25"/>
    <row r="230" s="48" customFormat="1" ht="0" hidden="1" customHeight="1" x14ac:dyDescent="0.25"/>
    <row r="231" s="48" customFormat="1" ht="0" hidden="1" customHeight="1" x14ac:dyDescent="0.25"/>
    <row r="232" s="48" customFormat="1" ht="0" hidden="1" customHeight="1" x14ac:dyDescent="0.25"/>
    <row r="233" s="48" customFormat="1" ht="0" hidden="1" customHeight="1" x14ac:dyDescent="0.25"/>
    <row r="234" s="48" customFormat="1" ht="0" hidden="1" customHeight="1" x14ac:dyDescent="0.25"/>
    <row r="235" s="48" customFormat="1" ht="0" hidden="1" customHeight="1" x14ac:dyDescent="0.25"/>
    <row r="236" s="48" customFormat="1" ht="0" hidden="1" customHeight="1" x14ac:dyDescent="0.25"/>
    <row r="237" s="48" customFormat="1" ht="0" hidden="1" customHeight="1" x14ac:dyDescent="0.25"/>
    <row r="238" s="48" customFormat="1" ht="0" hidden="1" customHeight="1" x14ac:dyDescent="0.25"/>
    <row r="239" s="48" customFormat="1" ht="0" hidden="1" customHeight="1" x14ac:dyDescent="0.25"/>
    <row r="240" s="48" customFormat="1" ht="0" hidden="1" customHeight="1" x14ac:dyDescent="0.25"/>
    <row r="241" s="48" customFormat="1" ht="0" hidden="1" customHeight="1" x14ac:dyDescent="0.25"/>
    <row r="242" s="48" customFormat="1" ht="0" hidden="1" customHeight="1" x14ac:dyDescent="0.25"/>
    <row r="243" s="48" customFormat="1" ht="0" hidden="1" customHeight="1" x14ac:dyDescent="0.25"/>
    <row r="244" s="48" customFormat="1" ht="0" hidden="1" customHeight="1" x14ac:dyDescent="0.25"/>
    <row r="245" s="48" customFormat="1" ht="0" hidden="1" customHeight="1" x14ac:dyDescent="0.25"/>
    <row r="246" s="48" customFormat="1" ht="0" hidden="1" customHeight="1" x14ac:dyDescent="0.25"/>
    <row r="247" s="48" customFormat="1" ht="0" hidden="1" customHeight="1" x14ac:dyDescent="0.25"/>
    <row r="248" s="48" customFormat="1" ht="0" hidden="1" customHeight="1" x14ac:dyDescent="0.25"/>
    <row r="249" s="48" customFormat="1" ht="0" hidden="1" customHeight="1" x14ac:dyDescent="0.25"/>
    <row r="250" s="48" customFormat="1" ht="0" hidden="1" customHeight="1" x14ac:dyDescent="0.25"/>
    <row r="251" s="48" customFormat="1" ht="0" hidden="1" customHeight="1" x14ac:dyDescent="0.25"/>
    <row r="252" s="48" customFormat="1" ht="0" hidden="1" customHeight="1" x14ac:dyDescent="0.25"/>
    <row r="253" s="48" customFormat="1" ht="0" hidden="1" customHeight="1" x14ac:dyDescent="0.25"/>
    <row r="254" s="48" customFormat="1" ht="0" hidden="1" customHeight="1" x14ac:dyDescent="0.25"/>
    <row r="255" s="48" customFormat="1" ht="0" hidden="1" customHeight="1" x14ac:dyDescent="0.25"/>
    <row r="256" s="48" customFormat="1" ht="0" hidden="1" customHeight="1" x14ac:dyDescent="0.25"/>
    <row r="257" s="48" customFormat="1" ht="0" hidden="1" customHeight="1" x14ac:dyDescent="0.25"/>
    <row r="258" s="48" customFormat="1" ht="0" hidden="1" customHeight="1" x14ac:dyDescent="0.25"/>
    <row r="259" s="48" customFormat="1" ht="0" hidden="1" customHeight="1" x14ac:dyDescent="0.25"/>
    <row r="260" s="48" customFormat="1" ht="0" hidden="1" customHeight="1" x14ac:dyDescent="0.25"/>
    <row r="261" s="48" customFormat="1" ht="0" hidden="1" customHeight="1" x14ac:dyDescent="0.25"/>
    <row r="262" s="48" customFormat="1" ht="0" hidden="1" customHeight="1" x14ac:dyDescent="0.25"/>
    <row r="263" s="48" customFormat="1" ht="0" hidden="1" customHeight="1" x14ac:dyDescent="0.25"/>
    <row r="264" s="48" customFormat="1" ht="0" hidden="1" customHeight="1" x14ac:dyDescent="0.25"/>
    <row r="265" s="48" customFormat="1" ht="0" hidden="1" customHeight="1" x14ac:dyDescent="0.25"/>
    <row r="266" s="48" customFormat="1" ht="0" hidden="1" customHeight="1" x14ac:dyDescent="0.25"/>
    <row r="267" s="48" customFormat="1" ht="0" hidden="1" customHeight="1" x14ac:dyDescent="0.25"/>
    <row r="268" s="48" customFormat="1" ht="0" hidden="1" customHeight="1" x14ac:dyDescent="0.25"/>
    <row r="269" s="48" customFormat="1" ht="0" hidden="1" customHeight="1" x14ac:dyDescent="0.25"/>
    <row r="270" s="48" customFormat="1" ht="0" hidden="1" customHeight="1" x14ac:dyDescent="0.25"/>
    <row r="271" s="48" customFormat="1" ht="0" hidden="1" customHeight="1" x14ac:dyDescent="0.25"/>
    <row r="272" s="48" customFormat="1" ht="0" hidden="1" customHeight="1" x14ac:dyDescent="0.25"/>
    <row r="273" s="48" customFormat="1" ht="0" hidden="1" customHeight="1" x14ac:dyDescent="0.25"/>
    <row r="274" s="48" customFormat="1" ht="0" hidden="1" customHeight="1" x14ac:dyDescent="0.25"/>
    <row r="275" s="48" customFormat="1" ht="0" hidden="1" customHeight="1" x14ac:dyDescent="0.25"/>
    <row r="276" s="48" customFormat="1" ht="0" hidden="1" customHeight="1" x14ac:dyDescent="0.25"/>
    <row r="277" s="48" customFormat="1" ht="0" hidden="1" customHeight="1" x14ac:dyDescent="0.25"/>
    <row r="278" s="48" customFormat="1" ht="0" hidden="1" customHeight="1" x14ac:dyDescent="0.25"/>
    <row r="279" s="48" customFormat="1" ht="0" hidden="1" customHeight="1" x14ac:dyDescent="0.25"/>
    <row r="280" s="48" customFormat="1" ht="0" hidden="1" customHeight="1" x14ac:dyDescent="0.25"/>
    <row r="281" s="48" customFormat="1" ht="0" hidden="1" customHeight="1" x14ac:dyDescent="0.25"/>
    <row r="282" s="48" customFormat="1" ht="0" hidden="1" customHeight="1" x14ac:dyDescent="0.25"/>
    <row r="283" s="48" customFormat="1" ht="0" hidden="1" customHeight="1" x14ac:dyDescent="0.25"/>
    <row r="284" s="48" customFormat="1" ht="0" hidden="1" customHeight="1" x14ac:dyDescent="0.25"/>
    <row r="285" s="48" customFormat="1" ht="0" hidden="1" customHeight="1" x14ac:dyDescent="0.25"/>
    <row r="286" s="48" customFormat="1" ht="0" hidden="1" customHeight="1" x14ac:dyDescent="0.25"/>
    <row r="287" s="48" customFormat="1" ht="0" hidden="1" customHeight="1" x14ac:dyDescent="0.25"/>
    <row r="288" s="48" customFormat="1" ht="0" hidden="1" customHeight="1" x14ac:dyDescent="0.25"/>
    <row r="289" s="48" customFormat="1" ht="0" hidden="1" customHeight="1" x14ac:dyDescent="0.25"/>
    <row r="290" s="48" customFormat="1" ht="0" hidden="1" customHeight="1" x14ac:dyDescent="0.25"/>
    <row r="291" s="48" customFormat="1" ht="0" hidden="1" customHeight="1" x14ac:dyDescent="0.25"/>
    <row r="292" s="48" customFormat="1" ht="0" hidden="1" customHeight="1" x14ac:dyDescent="0.25"/>
    <row r="293" s="48" customFormat="1" ht="0" hidden="1" customHeight="1" x14ac:dyDescent="0.25"/>
    <row r="294" s="48" customFormat="1" ht="0" hidden="1" customHeight="1" x14ac:dyDescent="0.25"/>
    <row r="295" s="48" customFormat="1" ht="0" hidden="1" customHeight="1" x14ac:dyDescent="0.25"/>
    <row r="296" s="48" customFormat="1" ht="0" hidden="1" customHeight="1" x14ac:dyDescent="0.25"/>
    <row r="297" s="48" customFormat="1" ht="0" hidden="1" customHeight="1" x14ac:dyDescent="0.25"/>
    <row r="298" s="48" customFormat="1" ht="0" hidden="1" customHeight="1" x14ac:dyDescent="0.25"/>
    <row r="299" s="48" customFormat="1" ht="0" hidden="1" customHeight="1" x14ac:dyDescent="0.25"/>
    <row r="300" s="48" customFormat="1" ht="0" hidden="1" customHeight="1" x14ac:dyDescent="0.25"/>
    <row r="301" s="48" customFormat="1" ht="0" hidden="1" customHeight="1" x14ac:dyDescent="0.25"/>
    <row r="302" s="48" customFormat="1" ht="0" hidden="1" customHeight="1" x14ac:dyDescent="0.25"/>
    <row r="303" s="48" customFormat="1" ht="0" hidden="1" customHeight="1" x14ac:dyDescent="0.25"/>
    <row r="304" s="48" customFormat="1" ht="0" hidden="1" customHeight="1" x14ac:dyDescent="0.25"/>
    <row r="305" s="48" customFormat="1" ht="0" hidden="1" customHeight="1" x14ac:dyDescent="0.25"/>
    <row r="306" s="48" customFormat="1" ht="0" hidden="1" customHeight="1" x14ac:dyDescent="0.25"/>
    <row r="307" s="48" customFormat="1" ht="0" hidden="1" customHeight="1" x14ac:dyDescent="0.25"/>
    <row r="308" s="48" customFormat="1" ht="0" hidden="1" customHeight="1" x14ac:dyDescent="0.25"/>
    <row r="309" s="48" customFormat="1" ht="0" hidden="1" customHeight="1" x14ac:dyDescent="0.25"/>
    <row r="310" s="48" customFormat="1" ht="0" hidden="1" customHeight="1" x14ac:dyDescent="0.25"/>
    <row r="311" s="48" customFormat="1" ht="0" hidden="1" customHeight="1" x14ac:dyDescent="0.25"/>
    <row r="312" s="48" customFormat="1" ht="0" hidden="1" customHeight="1" x14ac:dyDescent="0.25"/>
    <row r="313" s="48" customFormat="1" ht="0" hidden="1" customHeight="1" x14ac:dyDescent="0.25"/>
    <row r="314" s="48" customFormat="1" ht="0" hidden="1" customHeight="1" x14ac:dyDescent="0.25"/>
    <row r="315" s="48" customFormat="1" ht="0" hidden="1" customHeight="1" x14ac:dyDescent="0.25"/>
    <row r="316" s="48" customFormat="1" ht="0" hidden="1" customHeight="1" x14ac:dyDescent="0.25"/>
    <row r="317" s="48" customFormat="1" ht="0" hidden="1" customHeight="1" x14ac:dyDescent="0.25"/>
    <row r="318" s="48" customFormat="1" ht="0" hidden="1" customHeight="1" x14ac:dyDescent="0.25"/>
    <row r="319" s="48" customFormat="1" ht="0" hidden="1" customHeight="1" x14ac:dyDescent="0.25"/>
    <row r="320" s="48" customFormat="1" ht="0" hidden="1" customHeight="1" x14ac:dyDescent="0.25"/>
    <row r="321" s="48" customFormat="1" ht="0" hidden="1" customHeight="1" x14ac:dyDescent="0.25"/>
    <row r="322" s="48" customFormat="1" ht="0" hidden="1" customHeight="1" x14ac:dyDescent="0.25"/>
    <row r="323" s="48" customFormat="1" ht="0" hidden="1" customHeight="1" x14ac:dyDescent="0.25"/>
    <row r="324" s="48" customFormat="1" ht="0" hidden="1" customHeight="1" x14ac:dyDescent="0.25"/>
    <row r="325" s="48" customFormat="1" ht="0" hidden="1" customHeight="1" x14ac:dyDescent="0.25"/>
    <row r="326" s="48" customFormat="1" ht="0" hidden="1" customHeight="1" x14ac:dyDescent="0.25"/>
    <row r="327" s="48" customFormat="1" ht="0" hidden="1" customHeight="1" x14ac:dyDescent="0.25"/>
    <row r="328" s="48" customFormat="1" ht="0" hidden="1" customHeight="1" x14ac:dyDescent="0.25"/>
    <row r="329" s="48" customFormat="1" ht="0" hidden="1" customHeight="1" x14ac:dyDescent="0.25"/>
    <row r="330" s="48" customFormat="1" ht="0" hidden="1" customHeight="1" x14ac:dyDescent="0.25"/>
    <row r="331" s="48" customFormat="1" ht="0" hidden="1" customHeight="1" x14ac:dyDescent="0.25"/>
    <row r="332" s="48" customFormat="1" ht="0" hidden="1" customHeight="1" x14ac:dyDescent="0.25"/>
    <row r="333" s="48" customFormat="1" ht="0" hidden="1" customHeight="1" x14ac:dyDescent="0.25"/>
    <row r="334" s="48" customFormat="1" ht="0" hidden="1" customHeight="1" x14ac:dyDescent="0.25"/>
    <row r="335" s="48" customFormat="1" ht="0" hidden="1" customHeight="1" x14ac:dyDescent="0.25"/>
    <row r="336" s="48" customFormat="1" ht="0" hidden="1" customHeight="1" x14ac:dyDescent="0.25"/>
    <row r="337" s="48" customFormat="1" ht="0" hidden="1" customHeight="1" x14ac:dyDescent="0.25"/>
    <row r="338" s="48" customFormat="1" ht="0" hidden="1" customHeight="1" x14ac:dyDescent="0.25"/>
    <row r="339" s="48" customFormat="1" ht="0" hidden="1" customHeight="1" x14ac:dyDescent="0.25"/>
    <row r="340" s="48" customFormat="1" ht="0" hidden="1" customHeight="1" x14ac:dyDescent="0.25"/>
    <row r="341" s="48" customFormat="1" ht="0" hidden="1" customHeight="1" x14ac:dyDescent="0.25"/>
    <row r="342" s="48" customFormat="1" ht="0" hidden="1" customHeight="1" x14ac:dyDescent="0.25"/>
    <row r="343" s="48" customFormat="1" ht="0" hidden="1" customHeight="1" x14ac:dyDescent="0.25"/>
    <row r="344" s="48" customFormat="1" ht="0" hidden="1" customHeight="1" x14ac:dyDescent="0.25"/>
    <row r="345" s="48" customFormat="1" ht="0" hidden="1" customHeight="1" x14ac:dyDescent="0.25"/>
    <row r="346" s="48" customFormat="1" ht="0" hidden="1" customHeight="1" x14ac:dyDescent="0.25"/>
    <row r="347" s="48" customFormat="1" ht="0" hidden="1" customHeight="1" x14ac:dyDescent="0.25"/>
    <row r="348" s="48" customFormat="1" ht="0" hidden="1" customHeight="1" x14ac:dyDescent="0.25"/>
    <row r="349" s="48" customFormat="1" ht="0" hidden="1" customHeight="1" x14ac:dyDescent="0.25"/>
    <row r="350" s="48" customFormat="1" ht="0" hidden="1" customHeight="1" x14ac:dyDescent="0.25"/>
    <row r="351" s="48" customFormat="1" ht="0" hidden="1" customHeight="1" x14ac:dyDescent="0.25"/>
    <row r="352" s="48" customFormat="1" ht="0" hidden="1" customHeight="1" x14ac:dyDescent="0.25"/>
    <row r="353" s="48" customFormat="1" ht="0" hidden="1" customHeight="1" x14ac:dyDescent="0.25"/>
    <row r="354" s="48" customFormat="1" ht="0" hidden="1" customHeight="1" x14ac:dyDescent="0.25"/>
    <row r="355" s="48" customFormat="1" ht="0" hidden="1" customHeight="1" x14ac:dyDescent="0.25"/>
    <row r="356" s="48" customFormat="1" ht="0" hidden="1" customHeight="1" x14ac:dyDescent="0.25"/>
    <row r="357" s="48" customFormat="1" ht="0" hidden="1" customHeight="1" x14ac:dyDescent="0.25"/>
    <row r="358" s="48" customFormat="1" ht="0" hidden="1" customHeight="1" x14ac:dyDescent="0.25"/>
    <row r="359" s="48" customFormat="1" ht="0" hidden="1" customHeight="1" x14ac:dyDescent="0.25"/>
    <row r="360" s="48" customFormat="1" ht="0" hidden="1" customHeight="1" x14ac:dyDescent="0.25"/>
    <row r="361" s="48" customFormat="1" ht="0" hidden="1" customHeight="1" x14ac:dyDescent="0.25"/>
    <row r="362" s="48" customFormat="1" ht="0" hidden="1" customHeight="1" x14ac:dyDescent="0.25"/>
    <row r="363" s="48" customFormat="1" ht="0" hidden="1" customHeight="1" x14ac:dyDescent="0.25"/>
    <row r="364" s="48" customFormat="1" ht="0" hidden="1" customHeight="1" x14ac:dyDescent="0.25"/>
    <row r="365" s="48" customFormat="1" ht="0" hidden="1" customHeight="1" x14ac:dyDescent="0.25"/>
    <row r="366" s="48" customFormat="1" ht="0" hidden="1" customHeight="1" x14ac:dyDescent="0.25"/>
    <row r="367" s="48" customFormat="1" ht="0" hidden="1" customHeight="1" x14ac:dyDescent="0.25"/>
    <row r="368" s="48" customFormat="1" ht="0" hidden="1" customHeight="1" x14ac:dyDescent="0.25"/>
    <row r="369" s="48" customFormat="1" ht="0" hidden="1" customHeight="1" x14ac:dyDescent="0.25"/>
    <row r="370" s="48" customFormat="1" ht="0" hidden="1" customHeight="1" x14ac:dyDescent="0.25"/>
    <row r="371" s="48" customFormat="1" ht="0" hidden="1" customHeight="1" x14ac:dyDescent="0.25"/>
    <row r="372" s="48" customFormat="1" ht="0" hidden="1" customHeight="1" x14ac:dyDescent="0.25"/>
    <row r="373" s="48" customFormat="1" ht="0" hidden="1" customHeight="1" x14ac:dyDescent="0.25"/>
    <row r="374" s="48" customFormat="1" ht="0" hidden="1" customHeight="1" x14ac:dyDescent="0.25"/>
    <row r="375" s="48" customFormat="1" ht="0" hidden="1" customHeight="1" x14ac:dyDescent="0.25"/>
    <row r="376" s="48" customFormat="1" ht="0" hidden="1" customHeight="1" x14ac:dyDescent="0.25"/>
    <row r="377" s="48" customFormat="1" ht="0" hidden="1" customHeight="1" x14ac:dyDescent="0.25"/>
    <row r="378" s="48" customFormat="1" ht="0" hidden="1" customHeight="1" x14ac:dyDescent="0.25"/>
    <row r="379" s="48" customFormat="1" ht="0" hidden="1" customHeight="1" x14ac:dyDescent="0.25"/>
    <row r="380" s="48" customFormat="1" ht="0" hidden="1" customHeight="1" x14ac:dyDescent="0.25"/>
    <row r="381" s="48" customFormat="1" ht="0" hidden="1" customHeight="1" x14ac:dyDescent="0.25"/>
    <row r="382" s="48" customFormat="1" ht="0" hidden="1" customHeight="1" x14ac:dyDescent="0.25"/>
    <row r="383" s="48" customFormat="1" ht="0" hidden="1" customHeight="1" x14ac:dyDescent="0.25"/>
    <row r="384" s="48" customFormat="1" ht="0" hidden="1" customHeight="1" x14ac:dyDescent="0.25"/>
    <row r="385" s="48" customFormat="1" ht="0" hidden="1" customHeight="1" x14ac:dyDescent="0.25"/>
    <row r="386" s="48" customFormat="1" ht="0" hidden="1" customHeight="1" x14ac:dyDescent="0.25"/>
    <row r="387" s="48" customFormat="1" ht="0" hidden="1" customHeight="1" x14ac:dyDescent="0.25"/>
    <row r="388" s="48" customFormat="1" ht="0" hidden="1" customHeight="1" x14ac:dyDescent="0.25"/>
    <row r="389" s="48" customFormat="1" ht="0" hidden="1" customHeight="1" x14ac:dyDescent="0.25"/>
    <row r="390" s="48" customFormat="1" ht="0" hidden="1" customHeight="1" x14ac:dyDescent="0.25"/>
    <row r="391" s="48" customFormat="1" ht="0" hidden="1" customHeight="1" x14ac:dyDescent="0.25"/>
    <row r="392" s="48" customFormat="1" ht="0" hidden="1" customHeight="1" x14ac:dyDescent="0.25"/>
    <row r="393" s="48" customFormat="1" ht="0" hidden="1" customHeight="1" x14ac:dyDescent="0.25"/>
    <row r="394" s="48" customFormat="1" ht="0" hidden="1" customHeight="1" x14ac:dyDescent="0.25"/>
    <row r="395" s="48" customFormat="1" ht="0" hidden="1" customHeight="1" x14ac:dyDescent="0.25"/>
    <row r="396" s="48" customFormat="1" ht="0" hidden="1" customHeight="1" x14ac:dyDescent="0.25"/>
    <row r="397" s="48" customFormat="1" ht="0" hidden="1" customHeight="1" x14ac:dyDescent="0.25"/>
    <row r="398" s="48" customFormat="1" ht="0" hidden="1" customHeight="1" x14ac:dyDescent="0.25"/>
    <row r="399" s="48" customFormat="1" ht="0" hidden="1" customHeight="1" x14ac:dyDescent="0.25"/>
    <row r="400" s="48" customFormat="1" ht="0" hidden="1" customHeight="1" x14ac:dyDescent="0.25"/>
    <row r="401" s="48" customFormat="1" ht="0" hidden="1" customHeight="1" x14ac:dyDescent="0.25"/>
    <row r="402" s="48" customFormat="1" ht="0" hidden="1" customHeight="1" x14ac:dyDescent="0.25"/>
    <row r="403" s="48" customFormat="1" ht="0" hidden="1" customHeight="1" x14ac:dyDescent="0.25"/>
    <row r="404" s="48" customFormat="1" ht="0" hidden="1" customHeight="1" x14ac:dyDescent="0.25"/>
    <row r="405" s="48" customFormat="1" ht="0" hidden="1" customHeight="1" x14ac:dyDescent="0.25"/>
    <row r="406" s="48" customFormat="1" ht="0" hidden="1" customHeight="1" x14ac:dyDescent="0.25"/>
    <row r="407" s="48" customFormat="1" ht="0" hidden="1" customHeight="1" x14ac:dyDescent="0.25"/>
    <row r="408" s="48" customFormat="1" ht="0" hidden="1" customHeight="1" x14ac:dyDescent="0.25"/>
    <row r="409" s="48" customFormat="1" ht="0" hidden="1" customHeight="1" x14ac:dyDescent="0.25"/>
    <row r="410" s="48" customFormat="1" ht="0" hidden="1" customHeight="1" x14ac:dyDescent="0.25"/>
    <row r="411" s="48" customFormat="1" ht="0" hidden="1" customHeight="1" x14ac:dyDescent="0.25"/>
    <row r="412" s="48" customFormat="1" ht="0" hidden="1" customHeight="1" x14ac:dyDescent="0.25"/>
    <row r="413" s="48" customFormat="1" ht="0" hidden="1" customHeight="1" x14ac:dyDescent="0.25"/>
    <row r="414" s="48" customFormat="1" ht="0" hidden="1" customHeight="1" x14ac:dyDescent="0.25"/>
    <row r="415" s="48" customFormat="1" ht="0" hidden="1" customHeight="1" x14ac:dyDescent="0.25"/>
    <row r="416" s="48" customFormat="1" ht="0" hidden="1" customHeight="1" x14ac:dyDescent="0.25"/>
    <row r="417" s="48" customFormat="1" ht="0" hidden="1" customHeight="1" x14ac:dyDescent="0.25"/>
    <row r="418" s="48" customFormat="1" ht="0" hidden="1" customHeight="1" x14ac:dyDescent="0.25"/>
    <row r="419" s="48" customFormat="1" ht="0" hidden="1" customHeight="1" x14ac:dyDescent="0.25"/>
    <row r="420" s="48" customFormat="1" ht="0" hidden="1" customHeight="1" x14ac:dyDescent="0.25"/>
    <row r="421" s="48" customFormat="1" ht="0" hidden="1" customHeight="1" x14ac:dyDescent="0.25"/>
    <row r="422" s="48" customFormat="1" ht="0" hidden="1" customHeight="1" x14ac:dyDescent="0.25"/>
    <row r="423" s="48" customFormat="1" ht="0" hidden="1" customHeight="1" x14ac:dyDescent="0.25"/>
    <row r="424" s="48" customFormat="1" ht="0" hidden="1" customHeight="1" x14ac:dyDescent="0.25"/>
    <row r="425" s="48" customFormat="1" ht="0" hidden="1" customHeight="1" x14ac:dyDescent="0.25"/>
    <row r="426" s="48" customFormat="1" ht="0" hidden="1" customHeight="1" x14ac:dyDescent="0.25"/>
    <row r="427" s="48" customFormat="1" ht="0" hidden="1" customHeight="1" x14ac:dyDescent="0.25"/>
    <row r="428" s="48" customFormat="1" ht="0" hidden="1" customHeight="1" x14ac:dyDescent="0.25"/>
    <row r="429" s="48" customFormat="1" ht="0" hidden="1" customHeight="1" x14ac:dyDescent="0.25"/>
    <row r="430" s="48" customFormat="1" ht="0" hidden="1" customHeight="1" x14ac:dyDescent="0.25"/>
    <row r="431" s="48" customFormat="1" ht="0" hidden="1" customHeight="1" x14ac:dyDescent="0.25"/>
    <row r="432" s="48" customFormat="1" ht="0" hidden="1" customHeight="1" x14ac:dyDescent="0.25"/>
    <row r="433" s="48" customFormat="1" ht="0" hidden="1" customHeight="1" x14ac:dyDescent="0.25"/>
    <row r="434" s="48" customFormat="1" ht="0" hidden="1" customHeight="1" x14ac:dyDescent="0.25"/>
    <row r="435" s="48" customFormat="1" ht="0" hidden="1" customHeight="1" x14ac:dyDescent="0.25"/>
    <row r="436" s="48" customFormat="1" ht="0" hidden="1" customHeight="1" x14ac:dyDescent="0.25"/>
    <row r="437" s="48" customFormat="1" ht="0" hidden="1" customHeight="1" x14ac:dyDescent="0.25"/>
    <row r="438" s="48" customFormat="1" ht="0" hidden="1" customHeight="1" x14ac:dyDescent="0.25"/>
    <row r="439" s="48" customFormat="1" ht="0" hidden="1" customHeight="1" x14ac:dyDescent="0.25"/>
    <row r="440" s="48" customFormat="1" ht="0" hidden="1" customHeight="1" x14ac:dyDescent="0.25"/>
    <row r="441" s="48" customFormat="1" ht="0" hidden="1" customHeight="1" x14ac:dyDescent="0.25"/>
    <row r="442" s="48" customFormat="1" ht="0" hidden="1" customHeight="1" x14ac:dyDescent="0.25"/>
    <row r="443" s="48" customFormat="1" ht="0" hidden="1" customHeight="1" x14ac:dyDescent="0.25"/>
    <row r="444" s="48" customFormat="1" ht="0" hidden="1" customHeight="1" x14ac:dyDescent="0.25"/>
    <row r="445" s="48" customFormat="1" ht="0" hidden="1" customHeight="1" x14ac:dyDescent="0.25"/>
    <row r="446" s="48" customFormat="1" ht="0" hidden="1" customHeight="1" x14ac:dyDescent="0.25"/>
    <row r="447" s="48" customFormat="1" ht="0" hidden="1" customHeight="1" x14ac:dyDescent="0.25"/>
    <row r="448" s="48" customFormat="1" ht="0" hidden="1" customHeight="1" x14ac:dyDescent="0.25"/>
    <row r="449" s="48" customFormat="1" ht="0" hidden="1" customHeight="1" x14ac:dyDescent="0.25"/>
    <row r="450" s="48" customFormat="1" ht="0" hidden="1" customHeight="1" x14ac:dyDescent="0.25"/>
    <row r="451" s="48" customFormat="1" ht="0" hidden="1" customHeight="1" x14ac:dyDescent="0.25"/>
    <row r="452" s="48" customFormat="1" ht="0" hidden="1" customHeight="1" x14ac:dyDescent="0.25"/>
    <row r="453" s="48" customFormat="1" ht="0" hidden="1" customHeight="1" x14ac:dyDescent="0.25"/>
    <row r="454" s="48" customFormat="1" ht="0" hidden="1" customHeight="1" x14ac:dyDescent="0.25"/>
    <row r="455" s="48" customFormat="1" ht="0" hidden="1" customHeight="1" x14ac:dyDescent="0.25"/>
    <row r="456" s="48" customFormat="1" ht="0" hidden="1" customHeight="1" x14ac:dyDescent="0.25"/>
    <row r="457" s="48" customFormat="1" ht="0" hidden="1" customHeight="1" x14ac:dyDescent="0.25"/>
    <row r="458" s="48" customFormat="1" ht="0" hidden="1" customHeight="1" x14ac:dyDescent="0.25"/>
    <row r="459" s="48" customFormat="1" ht="0" hidden="1" customHeight="1" x14ac:dyDescent="0.25"/>
    <row r="460" s="48" customFormat="1" ht="0" hidden="1" customHeight="1" x14ac:dyDescent="0.25"/>
    <row r="461" s="48" customFormat="1" ht="0" hidden="1" customHeight="1" x14ac:dyDescent="0.25"/>
    <row r="462" s="48" customFormat="1" ht="0" hidden="1" customHeight="1" x14ac:dyDescent="0.25"/>
    <row r="463" s="48" customFormat="1" ht="0" hidden="1" customHeight="1" x14ac:dyDescent="0.25"/>
    <row r="464" s="48" customFormat="1" ht="0" hidden="1" customHeight="1" x14ac:dyDescent="0.25"/>
    <row r="465" s="48" customFormat="1" ht="0" hidden="1" customHeight="1" x14ac:dyDescent="0.25"/>
    <row r="466" s="48" customFormat="1" ht="0" hidden="1" customHeight="1" x14ac:dyDescent="0.25"/>
    <row r="467" s="48" customFormat="1" ht="0" hidden="1" customHeight="1" x14ac:dyDescent="0.25"/>
    <row r="468" s="48" customFormat="1" ht="0" hidden="1" customHeight="1" x14ac:dyDescent="0.25"/>
    <row r="469" s="48" customFormat="1" ht="0" hidden="1" customHeight="1" x14ac:dyDescent="0.25"/>
    <row r="470" s="48" customFormat="1" ht="0" hidden="1" customHeight="1" x14ac:dyDescent="0.25"/>
    <row r="471" s="48" customFormat="1" ht="0" hidden="1" customHeight="1" x14ac:dyDescent="0.25"/>
    <row r="472" s="48" customFormat="1" ht="0" hidden="1" customHeight="1" x14ac:dyDescent="0.25"/>
    <row r="473" s="48" customFormat="1" ht="0" hidden="1" customHeight="1" x14ac:dyDescent="0.25"/>
    <row r="474" s="48" customFormat="1" ht="0" hidden="1" customHeight="1" x14ac:dyDescent="0.25"/>
    <row r="475" s="48" customFormat="1" ht="0" hidden="1" customHeight="1" x14ac:dyDescent="0.25"/>
    <row r="476" s="48" customFormat="1" ht="0" hidden="1" customHeight="1" x14ac:dyDescent="0.25"/>
    <row r="477" s="48" customFormat="1" ht="0" hidden="1" customHeight="1" x14ac:dyDescent="0.25"/>
    <row r="478" s="48" customFormat="1" ht="0" hidden="1" customHeight="1" x14ac:dyDescent="0.25"/>
    <row r="479" s="48" customFormat="1" ht="0" hidden="1" customHeight="1" x14ac:dyDescent="0.25"/>
    <row r="480" s="48" customFormat="1" ht="0" hidden="1" customHeight="1" x14ac:dyDescent="0.25"/>
    <row r="481" s="48" customFormat="1" ht="0" hidden="1" customHeight="1" x14ac:dyDescent="0.25"/>
    <row r="482" s="48" customFormat="1" ht="0" hidden="1" customHeight="1" x14ac:dyDescent="0.25"/>
    <row r="483" s="48" customFormat="1" ht="0" hidden="1" customHeight="1" x14ac:dyDescent="0.25"/>
    <row r="484" s="48" customFormat="1" ht="0" hidden="1" customHeight="1" x14ac:dyDescent="0.25"/>
    <row r="485" s="48" customFormat="1" ht="0" hidden="1" customHeight="1" x14ac:dyDescent="0.25"/>
    <row r="486" s="48" customFormat="1" ht="0" hidden="1" customHeight="1" x14ac:dyDescent="0.25"/>
    <row r="487" s="48" customFormat="1" ht="0" hidden="1" customHeight="1" x14ac:dyDescent="0.25"/>
    <row r="488" s="48" customFormat="1" ht="0" hidden="1" customHeight="1" x14ac:dyDescent="0.25"/>
    <row r="489" s="48" customFormat="1" ht="0" hidden="1" customHeight="1" x14ac:dyDescent="0.25"/>
    <row r="490" s="48" customFormat="1" ht="0" hidden="1" customHeight="1" x14ac:dyDescent="0.25"/>
    <row r="491" s="48" customFormat="1" ht="0" hidden="1" customHeight="1" x14ac:dyDescent="0.25"/>
    <row r="492" s="48" customFormat="1" ht="0" hidden="1" customHeight="1" x14ac:dyDescent="0.25"/>
    <row r="493" s="48" customFormat="1" ht="0" hidden="1" customHeight="1" x14ac:dyDescent="0.25"/>
    <row r="494" s="48" customFormat="1" ht="0" hidden="1" customHeight="1" x14ac:dyDescent="0.25"/>
    <row r="495" s="48" customFormat="1" ht="0" hidden="1" customHeight="1" x14ac:dyDescent="0.25"/>
    <row r="496" s="48" customFormat="1" ht="0" hidden="1" customHeight="1" x14ac:dyDescent="0.25"/>
    <row r="497" s="48" customFormat="1" ht="0" hidden="1" customHeight="1" x14ac:dyDescent="0.25"/>
    <row r="498" s="48" customFormat="1" ht="0" hidden="1" customHeight="1" x14ac:dyDescent="0.25"/>
    <row r="499" s="48" customFormat="1" ht="0" hidden="1" customHeight="1" x14ac:dyDescent="0.25"/>
    <row r="500" s="48" customFormat="1" ht="0" hidden="1" customHeight="1" x14ac:dyDescent="0.25"/>
    <row r="501" s="48" customFormat="1" ht="0" hidden="1" customHeight="1" x14ac:dyDescent="0.25"/>
    <row r="502" s="48" customFormat="1" ht="0" hidden="1" customHeight="1" x14ac:dyDescent="0.25"/>
    <row r="503" s="48" customFormat="1" ht="0" hidden="1" customHeight="1" x14ac:dyDescent="0.25"/>
    <row r="504" s="48" customFormat="1" ht="0" hidden="1" customHeight="1" x14ac:dyDescent="0.25"/>
    <row r="505" s="48" customFormat="1" ht="0" hidden="1" customHeight="1" x14ac:dyDescent="0.25"/>
    <row r="506" s="48" customFormat="1" ht="0" hidden="1" customHeight="1" x14ac:dyDescent="0.25"/>
    <row r="507" s="48" customFormat="1" ht="0" hidden="1" customHeight="1" x14ac:dyDescent="0.25"/>
    <row r="508" s="48" customFormat="1" ht="0" hidden="1" customHeight="1" x14ac:dyDescent="0.25"/>
    <row r="509" s="48" customFormat="1" ht="0" hidden="1" customHeight="1" x14ac:dyDescent="0.25"/>
    <row r="510" s="48" customFormat="1" ht="0" hidden="1" customHeight="1" x14ac:dyDescent="0.25"/>
    <row r="511" s="48" customFormat="1" ht="0" hidden="1" customHeight="1" x14ac:dyDescent="0.25"/>
    <row r="512" s="48" customFormat="1" ht="0" hidden="1" customHeight="1" x14ac:dyDescent="0.25"/>
    <row r="513" s="48" customFormat="1" ht="0" hidden="1" customHeight="1" x14ac:dyDescent="0.25"/>
    <row r="514" s="48" customFormat="1" ht="0" hidden="1" customHeight="1" x14ac:dyDescent="0.25"/>
    <row r="515" s="48" customFormat="1" ht="0" hidden="1" customHeight="1" x14ac:dyDescent="0.25"/>
    <row r="516" s="48" customFormat="1" ht="0" hidden="1" customHeight="1" x14ac:dyDescent="0.25"/>
    <row r="517" s="48" customFormat="1" ht="0" hidden="1" customHeight="1" x14ac:dyDescent="0.25"/>
    <row r="518" s="48" customFormat="1" ht="0" hidden="1" customHeight="1" x14ac:dyDescent="0.25"/>
    <row r="519" s="48" customFormat="1" ht="0" hidden="1" customHeight="1" x14ac:dyDescent="0.25"/>
    <row r="520" s="48" customFormat="1" ht="0" hidden="1" customHeight="1" x14ac:dyDescent="0.25"/>
    <row r="521" s="48" customFormat="1" ht="0" hidden="1" customHeight="1" x14ac:dyDescent="0.25"/>
    <row r="522" s="48" customFormat="1" ht="0" hidden="1" customHeight="1" x14ac:dyDescent="0.25"/>
    <row r="523" s="48" customFormat="1" ht="0" hidden="1" customHeight="1" x14ac:dyDescent="0.25"/>
    <row r="524" s="48" customFormat="1" ht="0" hidden="1" customHeight="1" x14ac:dyDescent="0.25"/>
    <row r="525" s="48" customFormat="1" ht="0" hidden="1" customHeight="1" x14ac:dyDescent="0.25"/>
    <row r="526" s="48" customFormat="1" ht="0" hidden="1" customHeight="1" x14ac:dyDescent="0.25"/>
    <row r="527" s="48" customFormat="1" ht="0" hidden="1" customHeight="1" x14ac:dyDescent="0.25"/>
    <row r="528" s="48" customFormat="1" ht="0" hidden="1" customHeight="1" x14ac:dyDescent="0.25"/>
    <row r="529" s="48" customFormat="1" ht="0" hidden="1" customHeight="1" x14ac:dyDescent="0.25"/>
    <row r="530" s="48" customFormat="1" ht="0" hidden="1" customHeight="1" x14ac:dyDescent="0.25"/>
    <row r="531" s="48" customFormat="1" ht="0" hidden="1" customHeight="1" x14ac:dyDescent="0.25"/>
    <row r="532" s="48" customFormat="1" ht="0" hidden="1" customHeight="1" x14ac:dyDescent="0.25"/>
    <row r="533" s="48" customFormat="1" ht="0" hidden="1" customHeight="1" x14ac:dyDescent="0.25"/>
    <row r="534" s="48" customFormat="1" ht="0" hidden="1" customHeight="1" x14ac:dyDescent="0.25"/>
    <row r="535" s="48" customFormat="1" ht="0" hidden="1" customHeight="1" x14ac:dyDescent="0.25"/>
    <row r="536" s="48" customFormat="1" ht="0" hidden="1" customHeight="1" x14ac:dyDescent="0.25"/>
    <row r="537" s="48" customFormat="1" ht="0" hidden="1" customHeight="1" x14ac:dyDescent="0.25"/>
    <row r="538" s="48" customFormat="1" ht="0" hidden="1" customHeight="1" x14ac:dyDescent="0.25"/>
    <row r="539" s="48" customFormat="1" ht="0" hidden="1" customHeight="1" x14ac:dyDescent="0.25"/>
    <row r="540" s="48" customFormat="1" ht="0" hidden="1" customHeight="1" x14ac:dyDescent="0.25"/>
    <row r="541" s="48" customFormat="1" ht="0" hidden="1" customHeight="1" x14ac:dyDescent="0.25"/>
    <row r="542" s="48" customFormat="1" ht="0" hidden="1" customHeight="1" x14ac:dyDescent="0.25"/>
    <row r="543" s="48" customFormat="1" ht="0" hidden="1" customHeight="1" x14ac:dyDescent="0.25"/>
    <row r="544" s="48" customFormat="1" ht="0" hidden="1" customHeight="1" x14ac:dyDescent="0.25"/>
    <row r="545" s="48" customFormat="1" ht="0" hidden="1" customHeight="1" x14ac:dyDescent="0.25"/>
    <row r="546" s="48" customFormat="1" ht="0" hidden="1" customHeight="1" x14ac:dyDescent="0.25"/>
    <row r="547" s="48" customFormat="1" ht="0" hidden="1" customHeight="1" x14ac:dyDescent="0.25"/>
    <row r="548" s="48" customFormat="1" ht="0" hidden="1" customHeight="1" x14ac:dyDescent="0.25"/>
    <row r="549" s="48" customFormat="1" ht="0" hidden="1" customHeight="1" x14ac:dyDescent="0.25"/>
    <row r="550" s="48" customFormat="1" ht="0" hidden="1" customHeight="1" x14ac:dyDescent="0.25"/>
    <row r="551" s="48" customFormat="1" ht="0" hidden="1" customHeight="1" x14ac:dyDescent="0.25"/>
    <row r="552" s="48" customFormat="1" ht="0" hidden="1" customHeight="1" x14ac:dyDescent="0.25"/>
    <row r="553" s="48" customFormat="1" ht="0" hidden="1" customHeight="1" x14ac:dyDescent="0.25"/>
    <row r="554" s="48" customFormat="1" ht="0" hidden="1" customHeight="1" x14ac:dyDescent="0.25"/>
    <row r="555" s="48" customFormat="1" ht="0" hidden="1" customHeight="1" x14ac:dyDescent="0.25"/>
    <row r="556" s="48" customFormat="1" ht="0" hidden="1" customHeight="1" x14ac:dyDescent="0.25"/>
    <row r="557" s="48" customFormat="1" ht="0" hidden="1" customHeight="1" x14ac:dyDescent="0.25"/>
    <row r="558" s="48" customFormat="1" ht="0" hidden="1" customHeight="1" x14ac:dyDescent="0.25"/>
    <row r="559" s="48" customFormat="1" ht="0" hidden="1" customHeight="1" x14ac:dyDescent="0.25"/>
    <row r="560" s="48" customFormat="1" ht="0" hidden="1" customHeight="1" x14ac:dyDescent="0.25"/>
    <row r="561" s="48" customFormat="1" ht="0" hidden="1" customHeight="1" x14ac:dyDescent="0.25"/>
    <row r="562" s="48" customFormat="1" ht="107.65" hidden="1" customHeight="1" x14ac:dyDescent="0.25"/>
  </sheetData>
  <sheetProtection selectLockedCells="1"/>
  <mergeCells count="5">
    <mergeCell ref="C3:F5"/>
    <mergeCell ref="C11:F13"/>
    <mergeCell ref="C19:F23"/>
    <mergeCell ref="C15:F17"/>
    <mergeCell ref="C25:F28"/>
  </mergeCells>
  <hyperlinks>
    <hyperlink ref="C11:F13" r:id="rId1" location="Cadastro!A1" display="Cadastro" xr:uid="{88D29C94-5C47-4268-A8A9-5445E6E0B61E}"/>
    <hyperlink ref="C15:F17" r:id="rId2" location="'Fluxo de Caixa'!A1" display="Fluxo de caixa" xr:uid="{14991D1A-402E-4042-AAC5-D9F0ABF1A86E}"/>
  </hyperlinks>
  <pageMargins left="0.19685039370078741" right="0.19685039370078741" top="0.39370078740157483" bottom="0.39370078740157483" header="0.11811023622047245" footer="0.11811023622047245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1803AB-7027-40B8-8DDC-33A5D731A64B}">
          <x14:formula1>
            <xm:f>Lista_suspensa!$L$2:$L$5</xm:f>
          </x14:formula1>
          <xm:sqref>F11:F17</xm:sqref>
        </x14:dataValidation>
        <x14:dataValidation type="list" allowBlank="1" showInputMessage="1" showErrorMessage="1" xr:uid="{98FBAF17-0D63-4454-9AD7-29AAE6B79FC9}">
          <x14:formula1>
            <xm:f>Lista_suspensa!$E$2:$E$9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B402-EB4A-468D-8FC5-E3CA81C34DB4}">
  <sheetPr>
    <tabColor theme="4" tint="-0.249977111117893"/>
  </sheetPr>
  <dimension ref="B1:BH575"/>
  <sheetViews>
    <sheetView showGridLines="0" workbookViewId="0">
      <selection activeCell="E38" sqref="E38"/>
    </sheetView>
  </sheetViews>
  <sheetFormatPr defaultColWidth="9.140625" defaultRowHeight="14.45" customHeight="1" zeroHeight="1" outlineLevelRow="1" x14ac:dyDescent="0.25"/>
  <cols>
    <col min="1" max="1" width="0.5703125" style="48" customWidth="1"/>
    <col min="2" max="2" width="1.42578125" style="48" customWidth="1"/>
    <col min="3" max="3" width="19.7109375" style="48" bestFit="1" customWidth="1"/>
    <col min="4" max="4" width="32.42578125" style="48" customWidth="1"/>
    <col min="5" max="5" width="12.140625" style="48" bestFit="1" customWidth="1"/>
    <col min="6" max="6" width="19.42578125" style="48" bestFit="1" customWidth="1"/>
    <col min="7" max="7" width="1.7109375" style="48" customWidth="1"/>
    <col min="8" max="8" width="0.85546875" style="49" customWidth="1"/>
    <col min="9" max="9" width="1.140625" style="48" customWidth="1"/>
    <col min="10" max="10" width="1.5703125" style="48" customWidth="1"/>
    <col min="11" max="11" width="24.42578125" style="48" customWidth="1"/>
    <col min="12" max="12" width="15.85546875" style="48" bestFit="1" customWidth="1"/>
    <col min="13" max="13" width="11.5703125" style="48" customWidth="1"/>
    <col min="14" max="14" width="0.7109375" style="48" customWidth="1"/>
    <col min="15" max="15" width="21.42578125" style="48" customWidth="1"/>
    <col min="16" max="17" width="12.42578125" style="48" customWidth="1"/>
    <col min="18" max="18" width="0.7109375" style="48" customWidth="1"/>
    <col min="19" max="19" width="20.85546875" style="48" customWidth="1"/>
    <col min="20" max="20" width="16.7109375" style="48" bestFit="1" customWidth="1"/>
    <col min="21" max="21" width="12.85546875" style="48" customWidth="1"/>
    <col min="22" max="23" width="19.42578125" style="48" bestFit="1" customWidth="1"/>
    <col min="24" max="24" width="14.28515625" style="48" bestFit="1" customWidth="1"/>
    <col min="25" max="25" width="12.42578125" style="48" customWidth="1"/>
    <col min="26" max="26" width="2.140625" style="48" customWidth="1"/>
    <col min="27" max="27" width="1.28515625" style="48" customWidth="1"/>
    <col min="28" max="28" width="1.5703125" style="48" hidden="1" customWidth="1"/>
    <col min="29" max="29" width="15.42578125" style="48" hidden="1" customWidth="1"/>
    <col min="30" max="30" width="9.140625" style="48" hidden="1" customWidth="1"/>
    <col min="31" max="31" width="15.7109375" style="48" hidden="1" customWidth="1"/>
    <col min="32" max="32" width="11.42578125" style="48" hidden="1" customWidth="1"/>
    <col min="33" max="33" width="18.5703125" style="48" hidden="1" customWidth="1"/>
    <col min="34" max="34" width="17" style="48" hidden="1" customWidth="1"/>
    <col min="35" max="35" width="13.28515625" style="48" hidden="1" customWidth="1"/>
    <col min="36" max="36" width="1.28515625" style="48" hidden="1" customWidth="1"/>
    <col min="37" max="37" width="6.7109375" style="48" hidden="1" customWidth="1"/>
    <col min="38" max="38" width="15.7109375" style="48" hidden="1" customWidth="1"/>
    <col min="39" max="39" width="11.42578125" style="48" hidden="1" customWidth="1"/>
    <col min="40" max="40" width="18.5703125" style="48" hidden="1" customWidth="1"/>
    <col min="41" max="41" width="17" style="48" hidden="1" customWidth="1"/>
    <col min="42" max="43" width="11.85546875" style="48" hidden="1" customWidth="1"/>
    <col min="44" max="44" width="1.28515625" style="50" hidden="1" customWidth="1"/>
    <col min="45" max="46" width="9.140625" style="48" hidden="1" customWidth="1"/>
    <col min="47" max="47" width="13.28515625" style="48" hidden="1" customWidth="1"/>
    <col min="48" max="49" width="9.140625" style="48" hidden="1" customWidth="1"/>
    <col min="50" max="50" width="20.5703125" style="48" hidden="1" customWidth="1"/>
    <col min="51" max="51" width="19.5703125" style="48" hidden="1" customWidth="1"/>
    <col min="52" max="52" width="1" style="48" hidden="1" customWidth="1"/>
    <col min="53" max="57" width="9.140625" style="48" hidden="1" customWidth="1"/>
    <col min="58" max="58" width="13.42578125" style="48" hidden="1" customWidth="1"/>
    <col min="59" max="59" width="11.85546875" style="48" hidden="1" customWidth="1"/>
    <col min="60" max="61" width="0" style="48" hidden="1" customWidth="1"/>
    <col min="62" max="16384" width="9.140625" style="48"/>
  </cols>
  <sheetData>
    <row r="1" spans="2:60" ht="3.75" customHeight="1" thickBot="1" x14ac:dyDescent="0.3"/>
    <row r="2" spans="2:60" ht="15" customHeight="1" thickBot="1" x14ac:dyDescent="0.3">
      <c r="B2" s="51"/>
      <c r="C2" s="52"/>
      <c r="D2" s="52"/>
      <c r="E2" s="52"/>
      <c r="F2" s="52"/>
      <c r="G2" s="53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  <c r="AB2" s="54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2"/>
      <c r="BF2" s="52"/>
      <c r="BG2" s="52"/>
      <c r="BH2" s="53"/>
    </row>
    <row r="3" spans="2:60" ht="15" customHeight="1" thickBot="1" x14ac:dyDescent="0.3">
      <c r="B3" s="56"/>
      <c r="C3" s="316" t="s">
        <v>19</v>
      </c>
      <c r="D3" s="57" t="s">
        <v>519</v>
      </c>
      <c r="E3" s="58"/>
      <c r="F3" s="438" t="s">
        <v>478</v>
      </c>
      <c r="G3" s="59"/>
      <c r="I3" s="56"/>
      <c r="J3" s="447" t="s">
        <v>310</v>
      </c>
      <c r="K3" s="448"/>
      <c r="L3" s="448"/>
      <c r="M3" s="449"/>
      <c r="N3" s="60"/>
      <c r="O3" s="450" t="s">
        <v>310</v>
      </c>
      <c r="P3" s="451"/>
      <c r="Q3" s="452"/>
      <c r="R3" s="60"/>
      <c r="S3" s="453" t="s">
        <v>310</v>
      </c>
      <c r="T3" s="454"/>
      <c r="U3" s="455"/>
      <c r="V3" s="60"/>
      <c r="W3" s="453" t="s">
        <v>310</v>
      </c>
      <c r="X3" s="454"/>
      <c r="Y3" s="455"/>
      <c r="Z3" s="61"/>
      <c r="AB3" s="56"/>
      <c r="AC3" s="431" t="s">
        <v>449</v>
      </c>
      <c r="AD3" s="432"/>
      <c r="AE3" s="432"/>
      <c r="AF3" s="432"/>
      <c r="AG3" s="432"/>
      <c r="AH3" s="432"/>
      <c r="AI3" s="433"/>
      <c r="AJ3" s="60"/>
      <c r="AK3" s="431" t="s">
        <v>449</v>
      </c>
      <c r="AL3" s="432"/>
      <c r="AM3" s="432"/>
      <c r="AN3" s="432"/>
      <c r="AO3" s="432"/>
      <c r="AP3" s="432"/>
      <c r="AQ3" s="433"/>
      <c r="AR3" s="60"/>
      <c r="AS3" s="431" t="s">
        <v>449</v>
      </c>
      <c r="AT3" s="432"/>
      <c r="AU3" s="432"/>
      <c r="AV3" s="432"/>
      <c r="AW3" s="432"/>
      <c r="AX3" s="432"/>
      <c r="AY3" s="433"/>
      <c r="AZ3" s="60"/>
      <c r="BA3" s="431" t="s">
        <v>449</v>
      </c>
      <c r="BB3" s="432"/>
      <c r="BC3" s="432"/>
      <c r="BD3" s="432"/>
      <c r="BE3" s="432"/>
      <c r="BF3" s="432"/>
      <c r="BG3" s="433"/>
      <c r="BH3" s="59"/>
    </row>
    <row r="4" spans="2:60" ht="15.75" thickBot="1" x14ac:dyDescent="0.3">
      <c r="B4" s="56"/>
      <c r="C4" s="317" t="s">
        <v>0</v>
      </c>
      <c r="D4" s="63" t="s">
        <v>83</v>
      </c>
      <c r="E4" s="58"/>
      <c r="F4" s="439"/>
      <c r="G4" s="59"/>
      <c r="I4" s="56"/>
      <c r="J4" s="456" t="s">
        <v>18</v>
      </c>
      <c r="K4" s="457"/>
      <c r="L4" s="376" t="s">
        <v>452</v>
      </c>
      <c r="M4" s="377" t="s">
        <v>317</v>
      </c>
      <c r="N4" s="60"/>
      <c r="O4" s="321" t="s">
        <v>309</v>
      </c>
      <c r="P4" s="322" t="s">
        <v>452</v>
      </c>
      <c r="Q4" s="323" t="s">
        <v>317</v>
      </c>
      <c r="R4" s="60"/>
      <c r="S4" s="321" t="s">
        <v>237</v>
      </c>
      <c r="T4" s="324" t="s">
        <v>452</v>
      </c>
      <c r="U4" s="323" t="s">
        <v>317</v>
      </c>
      <c r="V4" s="64"/>
      <c r="W4" s="321" t="s">
        <v>308</v>
      </c>
      <c r="X4" s="324" t="s">
        <v>224</v>
      </c>
      <c r="Y4" s="323" t="s">
        <v>317</v>
      </c>
      <c r="Z4" s="65"/>
      <c r="AB4" s="56"/>
      <c r="AC4" s="434" t="s">
        <v>18</v>
      </c>
      <c r="AD4" s="435"/>
      <c r="AE4" s="173" t="s">
        <v>225</v>
      </c>
      <c r="AF4" s="173" t="s">
        <v>328</v>
      </c>
      <c r="AG4" s="173" t="s">
        <v>226</v>
      </c>
      <c r="AH4" s="173" t="s">
        <v>306</v>
      </c>
      <c r="AI4" s="181" t="s">
        <v>307</v>
      </c>
      <c r="AJ4" s="64"/>
      <c r="AK4" s="434" t="s">
        <v>309</v>
      </c>
      <c r="AL4" s="435"/>
      <c r="AM4" s="173" t="s">
        <v>225</v>
      </c>
      <c r="AN4" s="173" t="s">
        <v>328</v>
      </c>
      <c r="AO4" s="173" t="s">
        <v>226</v>
      </c>
      <c r="AP4" s="173" t="s">
        <v>306</v>
      </c>
      <c r="AQ4" s="181" t="s">
        <v>307</v>
      </c>
      <c r="AR4" s="58"/>
      <c r="AS4" s="434" t="s">
        <v>237</v>
      </c>
      <c r="AT4" s="435"/>
      <c r="AU4" s="173" t="s">
        <v>225</v>
      </c>
      <c r="AV4" s="173" t="s">
        <v>328</v>
      </c>
      <c r="AW4" s="173" t="s">
        <v>226</v>
      </c>
      <c r="AX4" s="173" t="s">
        <v>306</v>
      </c>
      <c r="AY4" s="181" t="s">
        <v>307</v>
      </c>
      <c r="AZ4" s="58"/>
      <c r="BA4" s="434" t="s">
        <v>308</v>
      </c>
      <c r="BB4" s="435"/>
      <c r="BC4" s="66" t="s">
        <v>225</v>
      </c>
      <c r="BD4" s="173" t="s">
        <v>328</v>
      </c>
      <c r="BE4" s="173" t="s">
        <v>226</v>
      </c>
      <c r="BF4" s="173" t="s">
        <v>306</v>
      </c>
      <c r="BG4" s="181" t="s">
        <v>307</v>
      </c>
      <c r="BH4" s="59"/>
    </row>
    <row r="5" spans="2:60" ht="15" x14ac:dyDescent="0.25">
      <c r="B5" s="56"/>
      <c r="C5" s="303" t="s">
        <v>1</v>
      </c>
      <c r="D5" s="67" t="str">
        <f>LOOKUP(D4,Tabela4[[Municípios]:[Regiões]],Tabela4[Regiões])</f>
        <v>Noroeste</v>
      </c>
      <c r="E5" s="58"/>
      <c r="F5" s="68">
        <v>0.06</v>
      </c>
      <c r="G5" s="59"/>
      <c r="I5" s="56"/>
      <c r="J5" s="443" t="s">
        <v>240</v>
      </c>
      <c r="K5" s="444"/>
      <c r="L5" s="69">
        <v>5000</v>
      </c>
      <c r="M5" s="379">
        <v>2</v>
      </c>
      <c r="N5" s="70"/>
      <c r="O5" s="62"/>
      <c r="P5" s="89"/>
      <c r="Q5" s="379"/>
      <c r="R5" s="70"/>
      <c r="S5" s="71"/>
      <c r="T5" s="89"/>
      <c r="U5" s="72"/>
      <c r="V5" s="58"/>
      <c r="W5" s="71"/>
      <c r="X5" s="89"/>
      <c r="Y5" s="72"/>
      <c r="Z5" s="59"/>
      <c r="AB5" s="56"/>
      <c r="AC5" s="436" t="str">
        <f>J5</f>
        <v>Açude</v>
      </c>
      <c r="AD5" s="437"/>
      <c r="AE5" s="73">
        <f>L5/2</f>
        <v>2500</v>
      </c>
      <c r="AF5" s="74">
        <f>IFERROR(AVERAGEIF(Lista_suspensa!$AD$2:$AD$41,AC5,Lista_suspensa!$AG$2:$AG$41)/100,"")</f>
        <v>0.2</v>
      </c>
      <c r="AG5" s="75">
        <f>IFERROR(AVERAGEIF(Lista_suspensa!$AD$2:$AD$41,AC5,Lista_suspensa!$AF$2:$AF$41),"")</f>
        <v>50</v>
      </c>
      <c r="AH5" s="73">
        <f>IF(L5="","",AF5*L5*M5)</f>
        <v>2000</v>
      </c>
      <c r="AI5" s="203">
        <f>IF(L5="","",((L5-AH5)/AG5))</f>
        <v>60</v>
      </c>
      <c r="AJ5" s="58"/>
      <c r="AK5" s="436">
        <f t="shared" ref="AK5:AK39" si="0">O5</f>
        <v>0</v>
      </c>
      <c r="AL5" s="437"/>
      <c r="AM5" s="76">
        <f t="shared" ref="AM5:AM39" si="1">P5/2</f>
        <v>0</v>
      </c>
      <c r="AN5" s="77" t="str">
        <f>IFERROR(AVERAGEIF(Lista_suspensa!$AJ$2:$AJ$41,AK5,Lista_suspensa!$AM$2:$AM$41)/100,"")</f>
        <v/>
      </c>
      <c r="AO5" s="78" t="str">
        <f>IFERROR(AVERAGEIF(Lista_suspensa!$AJ$2:$AJ$41,AK5,Lista_suspensa!$AL$2:$AL$41),"")</f>
        <v/>
      </c>
      <c r="AP5" s="73" t="str">
        <f>IF(P5="","",AN5*P5*Q5)</f>
        <v/>
      </c>
      <c r="AQ5" s="203" t="str">
        <f>IF(P5="","",((P5-AP5)/AO5))</f>
        <v/>
      </c>
      <c r="AR5" s="58"/>
      <c r="AS5" s="436">
        <f t="shared" ref="AS5:AS25" si="2">S5</f>
        <v>0</v>
      </c>
      <c r="AT5" s="437"/>
      <c r="AU5" s="177">
        <f t="shared" ref="AU5:AU25" si="3">T5/2</f>
        <v>0</v>
      </c>
      <c r="AV5" s="77" t="str">
        <f>IFERROR(AVERAGEIF(Lista_suspensa!$W$2:$W$41,AS5,Lista_suspensa!$AB$2:$AB$41)/100,"")</f>
        <v/>
      </c>
      <c r="AW5" s="78" t="str">
        <f>IFERROR(AVERAGEIF(Lista_suspensa!$W$2:$W$41,AS5,Lista_suspensa!$Y$2:$Y$41),"")</f>
        <v/>
      </c>
      <c r="AX5" s="73" t="str">
        <f>IF(U5="","",AV5*U5*T5)</f>
        <v/>
      </c>
      <c r="AY5" s="203" t="str">
        <f>IF(T5="","",((T5-AX5)/AW5))</f>
        <v/>
      </c>
      <c r="AZ5" s="58"/>
      <c r="BA5" s="436">
        <f t="shared" ref="BA5:BA25" si="4">W5</f>
        <v>0</v>
      </c>
      <c r="BB5" s="437"/>
      <c r="BC5" s="80">
        <f t="shared" ref="BC5:BC25" si="5">X5/2</f>
        <v>0</v>
      </c>
      <c r="BD5" s="74" t="str">
        <f>IFERROR(AVERAGEIF(Lista_suspensa!$P$2:$P$41,BA5,Lista_suspensa!$U$2:$U$41)/100,"")</f>
        <v/>
      </c>
      <c r="BE5" s="75" t="str">
        <f>IFERROR(AVERAGEIF(Lista_suspensa!$P$2:$P$41,BA5,Lista_suspensa!$R$2:$R$41),"")</f>
        <v/>
      </c>
      <c r="BF5" s="72" t="str">
        <f>IF(BD5="","",BD5*X5*Y5)</f>
        <v/>
      </c>
      <c r="BG5" s="203" t="str">
        <f>IF(X5="","",((X5-BF5)/BE5))</f>
        <v/>
      </c>
      <c r="BH5" s="59"/>
    </row>
    <row r="6" spans="2:60" ht="15" customHeight="1" x14ac:dyDescent="0.25">
      <c r="B6" s="56"/>
      <c r="C6" s="318" t="s">
        <v>20</v>
      </c>
      <c r="D6" s="81" t="s">
        <v>61</v>
      </c>
      <c r="E6" s="58"/>
      <c r="F6" s="440" t="s">
        <v>482</v>
      </c>
      <c r="G6" s="59"/>
      <c r="I6" s="56"/>
      <c r="J6" s="443" t="s">
        <v>246</v>
      </c>
      <c r="K6" s="444"/>
      <c r="L6" s="69">
        <v>50000</v>
      </c>
      <c r="M6" s="379">
        <v>1</v>
      </c>
      <c r="N6" s="70"/>
      <c r="O6" s="62"/>
      <c r="P6" s="89"/>
      <c r="Q6" s="379"/>
      <c r="R6" s="70"/>
      <c r="S6" s="71" t="s">
        <v>402</v>
      </c>
      <c r="T6" s="89">
        <v>1212</v>
      </c>
      <c r="U6" s="72">
        <v>1</v>
      </c>
      <c r="V6" s="58"/>
      <c r="W6" s="71"/>
      <c r="X6" s="89"/>
      <c r="Y6" s="72"/>
      <c r="Z6" s="59"/>
      <c r="AB6" s="56"/>
      <c r="AC6" s="436" t="str">
        <f t="shared" ref="AC6:AC26" si="6">J6</f>
        <v>Barracão de alvenaria</v>
      </c>
      <c r="AD6" s="437"/>
      <c r="AE6" s="73">
        <f t="shared" ref="AE6:AE26" si="7">L6/2</f>
        <v>25000</v>
      </c>
      <c r="AF6" s="74">
        <f>IFERROR(AVERAGEIF(Lista_suspensa!$AD$2:$AD$41,AC6,Lista_suspensa!$AG$2:$AG$41)/100,"")</f>
        <v>0.2</v>
      </c>
      <c r="AG6" s="75">
        <f>IFERROR(AVERAGEIF(Lista_suspensa!$AD$2:$AD$41,AC6,Lista_suspensa!$AF$2:$AF$41),"")</f>
        <v>40</v>
      </c>
      <c r="AH6" s="73">
        <f t="shared" ref="AH6:AH39" si="8">IF(L6="","",AF6*L6*M6)</f>
        <v>10000</v>
      </c>
      <c r="AI6" s="203">
        <f t="shared" ref="AI6:AI39" si="9">IF(L6="","",((L6-AH6)/AG6))</f>
        <v>1000</v>
      </c>
      <c r="AJ6" s="58"/>
      <c r="AK6" s="436">
        <f t="shared" si="0"/>
        <v>0</v>
      </c>
      <c r="AL6" s="437"/>
      <c r="AM6" s="76">
        <f t="shared" si="1"/>
        <v>0</v>
      </c>
      <c r="AN6" s="77" t="str">
        <f>IFERROR(AVERAGEIF(Lista_suspensa!$AJ$2:$AJ$41,AK6,Lista_suspensa!$AM$2:$AM$41)/100,"")</f>
        <v/>
      </c>
      <c r="AO6" s="78" t="str">
        <f>IFERROR(AVERAGEIF(Lista_suspensa!$AJ$2:$AJ$41,AK6,Lista_suspensa!$AL$2:$AL$41),"")</f>
        <v/>
      </c>
      <c r="AP6" s="73" t="str">
        <f t="shared" ref="AP6:AP39" si="10">IF(P6="","",AN6*P6*Q6)</f>
        <v/>
      </c>
      <c r="AQ6" s="203" t="str">
        <f t="shared" ref="AQ6:AQ39" si="11">IF(P6="","",((P6-AP6)/AO6))</f>
        <v/>
      </c>
      <c r="AR6" s="58"/>
      <c r="AS6" s="436" t="str">
        <f t="shared" si="2"/>
        <v>Outros</v>
      </c>
      <c r="AT6" s="437"/>
      <c r="AU6" s="177">
        <f t="shared" si="3"/>
        <v>606</v>
      </c>
      <c r="AV6" s="77">
        <f>IFERROR(AVERAGEIF(Lista_suspensa!$W$2:$W$41,AS6,Lista_suspensa!$AB$2:$AB$41)/100,"")</f>
        <v>0.06</v>
      </c>
      <c r="AW6" s="78">
        <f>IFERROR(AVERAGEIF(Lista_suspensa!$W$2:$W$41,AS6,Lista_suspensa!$Y$2:$Y$41),"")</f>
        <v>10</v>
      </c>
      <c r="AX6" s="73">
        <f>IF(U6="","",AV6*U6*T6)</f>
        <v>72.72</v>
      </c>
      <c r="AY6" s="203">
        <f t="shared" ref="AY6:AY25" si="12">IF(T6="","",((T6-AX6)/AW6))</f>
        <v>113.928</v>
      </c>
      <c r="AZ6" s="58"/>
      <c r="BA6" s="436">
        <f t="shared" si="4"/>
        <v>0</v>
      </c>
      <c r="BB6" s="437"/>
      <c r="BC6" s="80">
        <f t="shared" si="5"/>
        <v>0</v>
      </c>
      <c r="BD6" s="74" t="str">
        <f>IFERROR(AVERAGEIF(Lista_suspensa!$P$2:$P$41,BA6,Lista_suspensa!$U$2:$U$41)/100,"")</f>
        <v/>
      </c>
      <c r="BE6" s="75" t="str">
        <f>IFERROR(AVERAGEIF(Lista_suspensa!$P$2:$P$41,BA6,Lista_suspensa!$R$2:$R$41),"")</f>
        <v/>
      </c>
      <c r="BF6" s="72" t="str">
        <f t="shared" ref="BF6:BF25" si="13">IF(BD6="","",BD6*X6*Y6)</f>
        <v/>
      </c>
      <c r="BG6" s="203" t="str">
        <f t="shared" ref="BG6:BG25" si="14">IF(X6="","",((X6-BF6)/BE6))</f>
        <v/>
      </c>
      <c r="BH6" s="59"/>
    </row>
    <row r="7" spans="2:60" ht="15" x14ac:dyDescent="0.25">
      <c r="B7" s="56"/>
      <c r="C7" s="319" t="s">
        <v>22</v>
      </c>
      <c r="D7" s="82" t="s">
        <v>6</v>
      </c>
      <c r="E7" s="58"/>
      <c r="F7" s="439"/>
      <c r="G7" s="59"/>
      <c r="I7" s="56"/>
      <c r="J7" s="443" t="s">
        <v>345</v>
      </c>
      <c r="K7" s="444"/>
      <c r="L7" s="89">
        <v>3500</v>
      </c>
      <c r="M7" s="379">
        <v>1</v>
      </c>
      <c r="N7" s="70"/>
      <c r="O7" s="62"/>
      <c r="P7" s="89"/>
      <c r="Q7" s="379"/>
      <c r="R7" s="70"/>
      <c r="S7" s="71"/>
      <c r="T7" s="89"/>
      <c r="U7" s="72"/>
      <c r="V7" s="58"/>
      <c r="W7" s="71" t="s">
        <v>270</v>
      </c>
      <c r="X7" s="89">
        <v>21</v>
      </c>
      <c r="Y7" s="72">
        <v>1</v>
      </c>
      <c r="Z7" s="59"/>
      <c r="AB7" s="56"/>
      <c r="AC7" s="436" t="str">
        <f t="shared" si="6"/>
        <v>Cocho de madeira</v>
      </c>
      <c r="AD7" s="437"/>
      <c r="AE7" s="73">
        <f t="shared" si="7"/>
        <v>1750</v>
      </c>
      <c r="AF7" s="74">
        <f>IFERROR(AVERAGEIF(Lista_suspensa!$AD$2:$AD$41,AC7,Lista_suspensa!$AG$2:$AG$41)/100,"")</f>
        <v>0.2</v>
      </c>
      <c r="AG7" s="75">
        <f>IFERROR(AVERAGEIF(Lista_suspensa!$AD$2:$AD$41,AC7,Lista_suspensa!$AF$2:$AF$41),"")</f>
        <v>5</v>
      </c>
      <c r="AH7" s="73">
        <f t="shared" si="8"/>
        <v>700</v>
      </c>
      <c r="AI7" s="203">
        <f t="shared" si="9"/>
        <v>560</v>
      </c>
      <c r="AJ7" s="58"/>
      <c r="AK7" s="436">
        <f t="shared" si="0"/>
        <v>0</v>
      </c>
      <c r="AL7" s="437"/>
      <c r="AM7" s="76">
        <f t="shared" si="1"/>
        <v>0</v>
      </c>
      <c r="AN7" s="77" t="str">
        <f>IFERROR(AVERAGEIF(Lista_suspensa!$AJ$2:$AJ$41,AK7,Lista_suspensa!$AM$2:$AM$41)/100,"")</f>
        <v/>
      </c>
      <c r="AO7" s="78" t="str">
        <f>IFERROR(AVERAGEIF(Lista_suspensa!$AJ$2:$AJ$41,AK7,Lista_suspensa!$AL$2:$AL$41),"")</f>
        <v/>
      </c>
      <c r="AP7" s="73" t="str">
        <f t="shared" si="10"/>
        <v/>
      </c>
      <c r="AQ7" s="203" t="str">
        <f t="shared" si="11"/>
        <v/>
      </c>
      <c r="AR7" s="58"/>
      <c r="AS7" s="436">
        <f>S7</f>
        <v>0</v>
      </c>
      <c r="AT7" s="437"/>
      <c r="AU7" s="177">
        <f t="shared" si="3"/>
        <v>0</v>
      </c>
      <c r="AV7" s="77" t="str">
        <f>IFERROR(AVERAGEIF(Lista_suspensa!$W$2:$W$41,AS7,Lista_suspensa!$AB$2:$AB$41)/100,"")</f>
        <v/>
      </c>
      <c r="AW7" s="78" t="str">
        <f>IFERROR(AVERAGEIF(Lista_suspensa!$W$2:$W$41,AS7,Lista_suspensa!$Y$2:$Y$41),"")</f>
        <v/>
      </c>
      <c r="AX7" s="73" t="str">
        <f t="shared" ref="AX7:AX25" si="15">IF(U7="","",AV7*U7*T7)</f>
        <v/>
      </c>
      <c r="AY7" s="203" t="str">
        <f>IF(T7="","",((T7-AX7)/AW7))</f>
        <v/>
      </c>
      <c r="AZ7" s="58"/>
      <c r="BA7" s="436" t="str">
        <f t="shared" si="4"/>
        <v>Caçamba carregadeira traseira</v>
      </c>
      <c r="BB7" s="437"/>
      <c r="BC7" s="80">
        <f t="shared" si="5"/>
        <v>10.5</v>
      </c>
      <c r="BD7" s="74">
        <f>IFERROR(AVERAGEIF(Lista_suspensa!$P$2:$P$41,BA7,Lista_suspensa!$U$2:$U$41)/100,"")</f>
        <v>0.05</v>
      </c>
      <c r="BE7" s="75">
        <f>IFERROR(AVERAGEIF(Lista_suspensa!$P$2:$P$41,BA7,Lista_suspensa!$R$2:$R$41),"")</f>
        <v>12</v>
      </c>
      <c r="BF7" s="72">
        <f t="shared" si="13"/>
        <v>1.05</v>
      </c>
      <c r="BG7" s="203">
        <f t="shared" si="14"/>
        <v>1.6624999999999999</v>
      </c>
      <c r="BH7" s="59"/>
    </row>
    <row r="8" spans="2:60" ht="15.75" collapsed="1" thickBot="1" x14ac:dyDescent="0.3">
      <c r="B8" s="56"/>
      <c r="C8" s="304" t="s">
        <v>21</v>
      </c>
      <c r="D8" s="129">
        <f>D11+D15</f>
        <v>1511</v>
      </c>
      <c r="E8" s="58"/>
      <c r="F8" s="83">
        <v>25</v>
      </c>
      <c r="G8" s="59"/>
      <c r="I8" s="56"/>
      <c r="J8" s="443" t="s">
        <v>402</v>
      </c>
      <c r="K8" s="444"/>
      <c r="L8" s="89">
        <v>88999</v>
      </c>
      <c r="M8" s="379">
        <v>1</v>
      </c>
      <c r="N8" s="70"/>
      <c r="O8" s="62" t="s">
        <v>402</v>
      </c>
      <c r="P8" s="89">
        <v>11</v>
      </c>
      <c r="Q8" s="379">
        <v>1</v>
      </c>
      <c r="R8" s="70"/>
      <c r="S8" s="71"/>
      <c r="T8" s="89"/>
      <c r="U8" s="72"/>
      <c r="V8" s="58"/>
      <c r="W8" s="71"/>
      <c r="X8" s="89"/>
      <c r="Y8" s="72"/>
      <c r="Z8" s="59"/>
      <c r="AB8" s="56"/>
      <c r="AC8" s="436" t="str">
        <f t="shared" si="6"/>
        <v>Outros</v>
      </c>
      <c r="AD8" s="437"/>
      <c r="AE8" s="73">
        <f t="shared" si="7"/>
        <v>44499.5</v>
      </c>
      <c r="AF8" s="74">
        <f>IFERROR(AVERAGEIF(Lista_suspensa!$AD$2:$AD$41,AC8,Lista_suspensa!$AG$2:$AG$41)/100,"")</f>
        <v>0.2</v>
      </c>
      <c r="AG8" s="75">
        <f>IFERROR(AVERAGEIF(Lista_suspensa!$AD$2:$AD$41,AC8,Lista_suspensa!$AF$2:$AF$41),"")</f>
        <v>10</v>
      </c>
      <c r="AH8" s="73">
        <f t="shared" si="8"/>
        <v>17799.8</v>
      </c>
      <c r="AI8" s="203">
        <f t="shared" si="9"/>
        <v>7119.92</v>
      </c>
      <c r="AJ8" s="58"/>
      <c r="AK8" s="436" t="str">
        <f t="shared" si="0"/>
        <v>Outros</v>
      </c>
      <c r="AL8" s="437"/>
      <c r="AM8" s="76">
        <f t="shared" si="1"/>
        <v>5.5</v>
      </c>
      <c r="AN8" s="77">
        <f>IFERROR(AVERAGEIF(Lista_suspensa!$AJ$2:$AJ$41,AK8,Lista_suspensa!$AM$2:$AM$41)/100,"")</f>
        <v>0.2</v>
      </c>
      <c r="AO8" s="78">
        <f>IFERROR(AVERAGEIF(Lista_suspensa!$AJ$2:$AJ$41,AK8,Lista_suspensa!$AL$2:$AL$41),"")</f>
        <v>20</v>
      </c>
      <c r="AP8" s="73">
        <f t="shared" si="10"/>
        <v>2.2000000000000002</v>
      </c>
      <c r="AQ8" s="203">
        <f t="shared" si="11"/>
        <v>0.44000000000000006</v>
      </c>
      <c r="AR8" s="58"/>
      <c r="AS8" s="436">
        <f t="shared" si="2"/>
        <v>0</v>
      </c>
      <c r="AT8" s="437"/>
      <c r="AU8" s="177">
        <f t="shared" si="3"/>
        <v>0</v>
      </c>
      <c r="AV8" s="77" t="str">
        <f>IFERROR(AVERAGEIF(Lista_suspensa!$W$2:$W$41,AS8,Lista_suspensa!$AB$2:$AB$41)/100,"")</f>
        <v/>
      </c>
      <c r="AW8" s="78" t="str">
        <f>IFERROR(AVERAGEIF(Lista_suspensa!$W$2:$W$41,AS8,Lista_suspensa!$Y$2:$Y$41),"")</f>
        <v/>
      </c>
      <c r="AX8" s="73" t="str">
        <f t="shared" si="15"/>
        <v/>
      </c>
      <c r="AY8" s="203" t="str">
        <f t="shared" si="12"/>
        <v/>
      </c>
      <c r="AZ8" s="58"/>
      <c r="BA8" s="436">
        <f t="shared" si="4"/>
        <v>0</v>
      </c>
      <c r="BB8" s="437"/>
      <c r="BC8" s="80">
        <f t="shared" si="5"/>
        <v>0</v>
      </c>
      <c r="BD8" s="74" t="str">
        <f>IFERROR(AVERAGEIF(Lista_suspensa!$P$2:$P$41,BA8,Lista_suspensa!$U$2:$U$41)/100,"")</f>
        <v/>
      </c>
      <c r="BE8" s="75" t="str">
        <f>IFERROR(AVERAGEIF(Lista_suspensa!$P$2:$P$41,BA8,Lista_suspensa!$R$2:$R$41),"")</f>
        <v/>
      </c>
      <c r="BF8" s="72" t="str">
        <f t="shared" si="13"/>
        <v/>
      </c>
      <c r="BG8" s="203" t="str">
        <f t="shared" si="14"/>
        <v/>
      </c>
      <c r="BH8" s="59"/>
    </row>
    <row r="9" spans="2:60" ht="15.75" thickBot="1" x14ac:dyDescent="0.3">
      <c r="B9" s="56"/>
      <c r="C9" s="58"/>
      <c r="D9" s="58"/>
      <c r="E9" s="58"/>
      <c r="F9" s="58"/>
      <c r="G9" s="59"/>
      <c r="I9" s="56"/>
      <c r="J9" s="443" t="s">
        <v>402</v>
      </c>
      <c r="K9" s="444"/>
      <c r="L9" s="89">
        <v>1212</v>
      </c>
      <c r="M9" s="379">
        <v>1</v>
      </c>
      <c r="N9" s="70"/>
      <c r="O9" s="62"/>
      <c r="P9" s="89"/>
      <c r="Q9" s="379"/>
      <c r="R9" s="70"/>
      <c r="S9" s="71"/>
      <c r="T9" s="89"/>
      <c r="U9" s="72"/>
      <c r="V9" s="58"/>
      <c r="W9" s="71" t="s">
        <v>402</v>
      </c>
      <c r="X9" s="89">
        <v>12</v>
      </c>
      <c r="Y9" s="72">
        <v>1</v>
      </c>
      <c r="Z9" s="59"/>
      <c r="AB9" s="56"/>
      <c r="AC9" s="436" t="str">
        <f t="shared" si="6"/>
        <v>Outros</v>
      </c>
      <c r="AD9" s="437"/>
      <c r="AE9" s="73">
        <f t="shared" si="7"/>
        <v>606</v>
      </c>
      <c r="AF9" s="74">
        <f>IFERROR(AVERAGEIF(Lista_suspensa!$AD$2:$AD$41,AC9,Lista_suspensa!$AG$2:$AG$41)/100,"")</f>
        <v>0.2</v>
      </c>
      <c r="AG9" s="75">
        <f>IFERROR(AVERAGEIF(Lista_suspensa!$AD$2:$AD$41,AC9,Lista_suspensa!$AF$2:$AF$41),"")</f>
        <v>10</v>
      </c>
      <c r="AH9" s="73">
        <f t="shared" si="8"/>
        <v>242.4</v>
      </c>
      <c r="AI9" s="203">
        <f t="shared" si="9"/>
        <v>96.960000000000008</v>
      </c>
      <c r="AJ9" s="58"/>
      <c r="AK9" s="436">
        <f t="shared" si="0"/>
        <v>0</v>
      </c>
      <c r="AL9" s="437"/>
      <c r="AM9" s="76">
        <f t="shared" si="1"/>
        <v>0</v>
      </c>
      <c r="AN9" s="77" t="str">
        <f>IFERROR(AVERAGEIF(Lista_suspensa!$AJ$2:$AJ$41,AK9,Lista_suspensa!$AM$2:$AM$41)/100,"")</f>
        <v/>
      </c>
      <c r="AO9" s="78" t="str">
        <f>IFERROR(AVERAGEIF(Lista_suspensa!$AJ$2:$AJ$41,AK9,Lista_suspensa!$AL$2:$AL$41),"")</f>
        <v/>
      </c>
      <c r="AP9" s="73" t="str">
        <f t="shared" si="10"/>
        <v/>
      </c>
      <c r="AQ9" s="203" t="str">
        <f t="shared" si="11"/>
        <v/>
      </c>
      <c r="AR9" s="58"/>
      <c r="AS9" s="436">
        <f t="shared" si="2"/>
        <v>0</v>
      </c>
      <c r="AT9" s="437"/>
      <c r="AU9" s="177">
        <f t="shared" si="3"/>
        <v>0</v>
      </c>
      <c r="AV9" s="77" t="str">
        <f>IFERROR(AVERAGEIF(Lista_suspensa!$W$2:$W$41,AS9,Lista_suspensa!$AB$2:$AB$41)/100,"")</f>
        <v/>
      </c>
      <c r="AW9" s="78" t="str">
        <f>IFERROR(AVERAGEIF(Lista_suspensa!$W$2:$W$41,AS9,Lista_suspensa!$Y$2:$Y$41),"")</f>
        <v/>
      </c>
      <c r="AX9" s="73" t="str">
        <f t="shared" si="15"/>
        <v/>
      </c>
      <c r="AY9" s="203" t="str">
        <f t="shared" si="12"/>
        <v/>
      </c>
      <c r="AZ9" s="58"/>
      <c r="BA9" s="436" t="str">
        <f t="shared" si="4"/>
        <v>Outros</v>
      </c>
      <c r="BB9" s="437"/>
      <c r="BC9" s="80">
        <f t="shared" si="5"/>
        <v>6</v>
      </c>
      <c r="BD9" s="74">
        <f>IFERROR(AVERAGEIF(Lista_suspensa!$P$2:$P$41,BA9,Lista_suspensa!$U$2:$U$41)/100,"")</f>
        <v>0.1</v>
      </c>
      <c r="BE9" s="75">
        <f>IFERROR(AVERAGEIF(Lista_suspensa!$P$2:$P$41,BA9,Lista_suspensa!$R$2:$R$41),"")</f>
        <v>15</v>
      </c>
      <c r="BF9" s="72">
        <f t="shared" si="13"/>
        <v>1.2000000000000002</v>
      </c>
      <c r="BG9" s="203">
        <f t="shared" si="14"/>
        <v>0.72000000000000008</v>
      </c>
      <c r="BH9" s="59"/>
    </row>
    <row r="10" spans="2:60" ht="15.75" thickBot="1" x14ac:dyDescent="0.3">
      <c r="B10" s="56"/>
      <c r="C10" s="305" t="s">
        <v>25</v>
      </c>
      <c r="D10" s="292" t="s">
        <v>7</v>
      </c>
      <c r="E10" s="320" t="s">
        <v>8</v>
      </c>
      <c r="F10" s="292" t="s">
        <v>24</v>
      </c>
      <c r="G10" s="59"/>
      <c r="I10" s="56"/>
      <c r="J10" s="443" t="s">
        <v>402</v>
      </c>
      <c r="K10" s="444"/>
      <c r="L10" s="89">
        <v>1</v>
      </c>
      <c r="M10" s="379">
        <v>1</v>
      </c>
      <c r="N10" s="70"/>
      <c r="O10" s="62"/>
      <c r="P10" s="89"/>
      <c r="Q10" s="379"/>
      <c r="R10" s="70"/>
      <c r="S10" s="71"/>
      <c r="T10" s="89"/>
      <c r="U10" s="72"/>
      <c r="V10" s="58"/>
      <c r="W10" s="71"/>
      <c r="X10" s="89"/>
      <c r="Y10" s="72"/>
      <c r="Z10" s="59"/>
      <c r="AB10" s="56"/>
      <c r="AC10" s="436" t="str">
        <f t="shared" si="6"/>
        <v>Outros</v>
      </c>
      <c r="AD10" s="437"/>
      <c r="AE10" s="73">
        <f t="shared" si="7"/>
        <v>0.5</v>
      </c>
      <c r="AF10" s="74">
        <f>IFERROR(AVERAGEIF(Lista_suspensa!$AD$2:$AD$41,AC10,Lista_suspensa!$AG$2:$AG$41)/100,"")</f>
        <v>0.2</v>
      </c>
      <c r="AG10" s="75">
        <f>IFERROR(AVERAGEIF(Lista_suspensa!$AD$2:$AD$41,AC10,Lista_suspensa!$AF$2:$AF$41),"")</f>
        <v>10</v>
      </c>
      <c r="AH10" s="73">
        <f t="shared" si="8"/>
        <v>0.2</v>
      </c>
      <c r="AI10" s="203">
        <f t="shared" si="9"/>
        <v>0.08</v>
      </c>
      <c r="AJ10" s="58"/>
      <c r="AK10" s="436">
        <f t="shared" si="0"/>
        <v>0</v>
      </c>
      <c r="AL10" s="437"/>
      <c r="AM10" s="76">
        <f t="shared" si="1"/>
        <v>0</v>
      </c>
      <c r="AN10" s="77" t="str">
        <f>IFERROR(AVERAGEIF(Lista_suspensa!$AJ$2:$AJ$41,AK10,Lista_suspensa!$AM$2:$AM$41)/100,"")</f>
        <v/>
      </c>
      <c r="AO10" s="78" t="str">
        <f>IFERROR(AVERAGEIF(Lista_suspensa!$AJ$2:$AJ$41,AK10,Lista_suspensa!$AL$2:$AL$41),"")</f>
        <v/>
      </c>
      <c r="AP10" s="73" t="str">
        <f t="shared" si="10"/>
        <v/>
      </c>
      <c r="AQ10" s="203" t="str">
        <f t="shared" si="11"/>
        <v/>
      </c>
      <c r="AR10" s="58"/>
      <c r="AS10" s="436">
        <f t="shared" si="2"/>
        <v>0</v>
      </c>
      <c r="AT10" s="437"/>
      <c r="AU10" s="177">
        <f t="shared" si="3"/>
        <v>0</v>
      </c>
      <c r="AV10" s="77" t="str">
        <f>IFERROR(AVERAGEIF(Lista_suspensa!$W$2:$W$41,AS10,Lista_suspensa!$AB$2:$AB$41)/100,"")</f>
        <v/>
      </c>
      <c r="AW10" s="78" t="str">
        <f>IFERROR(AVERAGEIF(Lista_suspensa!$W$2:$W$41,AS10,Lista_suspensa!$Y$2:$Y$41),"")</f>
        <v/>
      </c>
      <c r="AX10" s="73" t="str">
        <f t="shared" si="15"/>
        <v/>
      </c>
      <c r="AY10" s="203" t="str">
        <f t="shared" si="12"/>
        <v/>
      </c>
      <c r="AZ10" s="58"/>
      <c r="BA10" s="436">
        <f t="shared" si="4"/>
        <v>0</v>
      </c>
      <c r="BB10" s="437"/>
      <c r="BC10" s="80">
        <f t="shared" si="5"/>
        <v>0</v>
      </c>
      <c r="BD10" s="74" t="str">
        <f>IFERROR(AVERAGEIF(Lista_suspensa!$P$2:$P$41,BA10,Lista_suspensa!$U$2:$U$41)/100,"")</f>
        <v/>
      </c>
      <c r="BE10" s="75" t="str">
        <f>IFERROR(AVERAGEIF(Lista_suspensa!$P$2:$P$41,BA10,Lista_suspensa!$R$2:$R$41),"")</f>
        <v/>
      </c>
      <c r="BF10" s="72" t="str">
        <f t="shared" si="13"/>
        <v/>
      </c>
      <c r="BG10" s="203" t="str">
        <f t="shared" si="14"/>
        <v/>
      </c>
      <c r="BH10" s="59"/>
    </row>
    <row r="11" spans="2:60" ht="15" outlineLevel="1" x14ac:dyDescent="0.25">
      <c r="B11" s="56"/>
      <c r="C11" s="293" t="s">
        <v>9</v>
      </c>
      <c r="D11" s="274">
        <v>1500</v>
      </c>
      <c r="E11" s="275">
        <f t="shared" ref="E11:E16" si="16">D11/$D$16</f>
        <v>0.8214676889375685</v>
      </c>
      <c r="F11" s="276" t="s">
        <v>207</v>
      </c>
      <c r="G11" s="59"/>
      <c r="I11" s="56"/>
      <c r="J11" s="443"/>
      <c r="K11" s="444"/>
      <c r="L11" s="89"/>
      <c r="M11" s="379"/>
      <c r="N11" s="70"/>
      <c r="O11" s="62"/>
      <c r="P11" s="89"/>
      <c r="Q11" s="379"/>
      <c r="R11" s="70"/>
      <c r="S11" s="71"/>
      <c r="T11" s="89"/>
      <c r="U11" s="72"/>
      <c r="V11" s="58"/>
      <c r="W11" s="71"/>
      <c r="X11" s="89"/>
      <c r="Y11" s="72"/>
      <c r="Z11" s="59"/>
      <c r="AB11" s="56"/>
      <c r="AC11" s="436">
        <f t="shared" si="6"/>
        <v>0</v>
      </c>
      <c r="AD11" s="437"/>
      <c r="AE11" s="73">
        <f t="shared" si="7"/>
        <v>0</v>
      </c>
      <c r="AF11" s="74" t="str">
        <f>IFERROR(AVERAGEIF(Lista_suspensa!$AD$2:$AD$41,AC11,Lista_suspensa!$AG$2:$AG$41)/100,"")</f>
        <v/>
      </c>
      <c r="AG11" s="75" t="str">
        <f>IFERROR(AVERAGEIF(Lista_suspensa!$AD$2:$AD$41,AC11,Lista_suspensa!$AF$2:$AF$41),"")</f>
        <v/>
      </c>
      <c r="AH11" s="73" t="str">
        <f t="shared" si="8"/>
        <v/>
      </c>
      <c r="AI11" s="203" t="str">
        <f t="shared" si="9"/>
        <v/>
      </c>
      <c r="AJ11" s="58"/>
      <c r="AK11" s="436">
        <f t="shared" si="0"/>
        <v>0</v>
      </c>
      <c r="AL11" s="437"/>
      <c r="AM11" s="76">
        <f t="shared" si="1"/>
        <v>0</v>
      </c>
      <c r="AN11" s="77" t="str">
        <f>IFERROR(AVERAGEIF(Lista_suspensa!$AJ$2:$AJ$41,AK11,Lista_suspensa!$AM$2:$AM$41)/100,"")</f>
        <v/>
      </c>
      <c r="AO11" s="78" t="str">
        <f>IFERROR(AVERAGEIF(Lista_suspensa!$AJ$2:$AJ$41,AK11,Lista_suspensa!$AL$2:$AL$41),"")</f>
        <v/>
      </c>
      <c r="AP11" s="73" t="str">
        <f t="shared" si="10"/>
        <v/>
      </c>
      <c r="AQ11" s="203" t="str">
        <f t="shared" si="11"/>
        <v/>
      </c>
      <c r="AR11" s="58"/>
      <c r="AS11" s="436">
        <f t="shared" si="2"/>
        <v>0</v>
      </c>
      <c r="AT11" s="437"/>
      <c r="AU11" s="177">
        <f t="shared" si="3"/>
        <v>0</v>
      </c>
      <c r="AV11" s="77" t="str">
        <f>IFERROR(AVERAGEIF(Lista_suspensa!$W$2:$W$41,AS11,Lista_suspensa!$AB$2:$AB$41)/100,"")</f>
        <v/>
      </c>
      <c r="AW11" s="78" t="str">
        <f>IFERROR(AVERAGEIF(Lista_suspensa!$W$2:$W$41,AS11,Lista_suspensa!$Y$2:$Y$41),"")</f>
        <v/>
      </c>
      <c r="AX11" s="73" t="str">
        <f t="shared" si="15"/>
        <v/>
      </c>
      <c r="AY11" s="203" t="str">
        <f t="shared" si="12"/>
        <v/>
      </c>
      <c r="AZ11" s="58"/>
      <c r="BA11" s="436">
        <f t="shared" si="4"/>
        <v>0</v>
      </c>
      <c r="BB11" s="437"/>
      <c r="BC11" s="80">
        <f t="shared" si="5"/>
        <v>0</v>
      </c>
      <c r="BD11" s="74" t="str">
        <f>IFERROR(AVERAGEIF(Lista_suspensa!$P$2:$P$41,BA11,Lista_suspensa!$U$2:$U$41)/100,"")</f>
        <v/>
      </c>
      <c r="BE11" s="75" t="str">
        <f>IFERROR(AVERAGEIF(Lista_suspensa!$P$2:$P$41,BA11,Lista_suspensa!$R$2:$R$41),"")</f>
        <v/>
      </c>
      <c r="BF11" s="72" t="str">
        <f t="shared" si="13"/>
        <v/>
      </c>
      <c r="BG11" s="203" t="str">
        <f t="shared" si="14"/>
        <v/>
      </c>
      <c r="BH11" s="59"/>
    </row>
    <row r="12" spans="2:60" ht="15" outlineLevel="1" x14ac:dyDescent="0.25">
      <c r="B12" s="56"/>
      <c r="C12" s="294" t="s">
        <v>23</v>
      </c>
      <c r="D12" s="86">
        <v>150</v>
      </c>
      <c r="E12" s="47">
        <f t="shared" si="16"/>
        <v>8.2146768893756841E-2</v>
      </c>
      <c r="F12" s="87" t="s">
        <v>207</v>
      </c>
      <c r="G12" s="59"/>
      <c r="I12" s="56"/>
      <c r="J12" s="443"/>
      <c r="K12" s="444"/>
      <c r="L12" s="89"/>
      <c r="M12" s="379"/>
      <c r="N12" s="70"/>
      <c r="O12" s="62" t="s">
        <v>369</v>
      </c>
      <c r="P12" s="89">
        <v>99</v>
      </c>
      <c r="Q12" s="379">
        <v>79</v>
      </c>
      <c r="R12" s="70"/>
      <c r="S12" s="71"/>
      <c r="T12" s="89"/>
      <c r="U12" s="72"/>
      <c r="V12" s="58"/>
      <c r="W12" s="71"/>
      <c r="X12" s="89"/>
      <c r="Y12" s="72"/>
      <c r="Z12" s="59"/>
      <c r="AB12" s="56"/>
      <c r="AC12" s="436">
        <f t="shared" si="6"/>
        <v>0</v>
      </c>
      <c r="AD12" s="437"/>
      <c r="AE12" s="73">
        <f t="shared" si="7"/>
        <v>0</v>
      </c>
      <c r="AF12" s="74" t="str">
        <f>IFERROR(AVERAGEIF(Lista_suspensa!$AD$2:$AD$41,AC12,Lista_suspensa!$AG$2:$AG$41)/100,"")</f>
        <v/>
      </c>
      <c r="AG12" s="75" t="str">
        <f>IFERROR(AVERAGEIF(Lista_suspensa!$AD$2:$AD$41,AC12,Lista_suspensa!$AF$2:$AF$41),"")</f>
        <v/>
      </c>
      <c r="AH12" s="73" t="str">
        <f t="shared" si="8"/>
        <v/>
      </c>
      <c r="AI12" s="203" t="str">
        <f t="shared" si="9"/>
        <v/>
      </c>
      <c r="AJ12" s="58"/>
      <c r="AK12" s="436" t="str">
        <f t="shared" si="0"/>
        <v>Tanque resfriador</v>
      </c>
      <c r="AL12" s="437"/>
      <c r="AM12" s="76">
        <f t="shared" si="1"/>
        <v>49.5</v>
      </c>
      <c r="AN12" s="77">
        <f>IFERROR(AVERAGEIF(Lista_suspensa!$AJ$2:$AJ$41,AK12,Lista_suspensa!$AM$2:$AM$41)/100,"")</f>
        <v>0.2</v>
      </c>
      <c r="AO12" s="78">
        <f>IFERROR(AVERAGEIF(Lista_suspensa!$AJ$2:$AJ$41,AK12,Lista_suspensa!$AL$2:$AL$41),"")</f>
        <v>20</v>
      </c>
      <c r="AP12" s="73">
        <f t="shared" si="10"/>
        <v>1564.2</v>
      </c>
      <c r="AQ12" s="203">
        <f t="shared" si="11"/>
        <v>-73.260000000000005</v>
      </c>
      <c r="AR12" s="58"/>
      <c r="AS12" s="436">
        <f t="shared" si="2"/>
        <v>0</v>
      </c>
      <c r="AT12" s="437"/>
      <c r="AU12" s="177">
        <f t="shared" si="3"/>
        <v>0</v>
      </c>
      <c r="AV12" s="77" t="str">
        <f>IFERROR(AVERAGEIF(Lista_suspensa!$W$2:$W$41,AS12,Lista_suspensa!$AB$2:$AB$41)/100,"")</f>
        <v/>
      </c>
      <c r="AW12" s="78" t="str">
        <f>IFERROR(AVERAGEIF(Lista_suspensa!$W$2:$W$41,AS12,Lista_suspensa!$Y$2:$Y$41),"")</f>
        <v/>
      </c>
      <c r="AX12" s="73" t="str">
        <f t="shared" si="15"/>
        <v/>
      </c>
      <c r="AY12" s="203" t="str">
        <f t="shared" si="12"/>
        <v/>
      </c>
      <c r="AZ12" s="58"/>
      <c r="BA12" s="436">
        <f t="shared" si="4"/>
        <v>0</v>
      </c>
      <c r="BB12" s="437"/>
      <c r="BC12" s="80">
        <f t="shared" si="5"/>
        <v>0</v>
      </c>
      <c r="BD12" s="74" t="str">
        <f>IFERROR(AVERAGEIF(Lista_suspensa!$P$2:$P$41,BA12,Lista_suspensa!$U$2:$U$41)/100,"")</f>
        <v/>
      </c>
      <c r="BE12" s="75" t="str">
        <f>IFERROR(AVERAGEIF(Lista_suspensa!$P$2:$P$41,BA12,Lista_suspensa!$R$2:$R$41),"")</f>
        <v/>
      </c>
      <c r="BF12" s="72" t="str">
        <f t="shared" si="13"/>
        <v/>
      </c>
      <c r="BG12" s="203" t="str">
        <f t="shared" si="14"/>
        <v/>
      </c>
      <c r="BH12" s="59"/>
    </row>
    <row r="13" spans="2:60" ht="15" outlineLevel="1" x14ac:dyDescent="0.25">
      <c r="B13" s="56"/>
      <c r="C13" s="294" t="s">
        <v>18</v>
      </c>
      <c r="D13" s="86">
        <v>150</v>
      </c>
      <c r="E13" s="47">
        <f t="shared" si="16"/>
        <v>8.2146768893756841E-2</v>
      </c>
      <c r="F13" s="87" t="s">
        <v>208</v>
      </c>
      <c r="G13" s="59"/>
      <c r="I13" s="56"/>
      <c r="J13" s="443"/>
      <c r="K13" s="444"/>
      <c r="L13" s="89"/>
      <c r="M13" s="379"/>
      <c r="N13" s="70"/>
      <c r="O13" s="62"/>
      <c r="P13" s="89"/>
      <c r="Q13" s="379"/>
      <c r="R13" s="70"/>
      <c r="S13" s="71"/>
      <c r="T13" s="89"/>
      <c r="U13" s="72"/>
      <c r="V13" s="58"/>
      <c r="W13" s="71"/>
      <c r="X13" s="89"/>
      <c r="Y13" s="72"/>
      <c r="Z13" s="59"/>
      <c r="AB13" s="56"/>
      <c r="AC13" s="436">
        <f t="shared" si="6"/>
        <v>0</v>
      </c>
      <c r="AD13" s="437"/>
      <c r="AE13" s="73">
        <f t="shared" si="7"/>
        <v>0</v>
      </c>
      <c r="AF13" s="74" t="str">
        <f>IFERROR(AVERAGEIF(Lista_suspensa!$AD$2:$AD$41,AC13,Lista_suspensa!$AG$2:$AG$41)/100,"")</f>
        <v/>
      </c>
      <c r="AG13" s="75" t="str">
        <f>IFERROR(AVERAGEIF(Lista_suspensa!$AD$2:$AD$41,AC13,Lista_suspensa!$AF$2:$AF$41),"")</f>
        <v/>
      </c>
      <c r="AH13" s="73" t="str">
        <f t="shared" si="8"/>
        <v/>
      </c>
      <c r="AI13" s="203" t="str">
        <f t="shared" si="9"/>
        <v/>
      </c>
      <c r="AJ13" s="58"/>
      <c r="AK13" s="436">
        <f t="shared" si="0"/>
        <v>0</v>
      </c>
      <c r="AL13" s="437"/>
      <c r="AM13" s="76">
        <f t="shared" si="1"/>
        <v>0</v>
      </c>
      <c r="AN13" s="77" t="str">
        <f>IFERROR(AVERAGEIF(Lista_suspensa!$AJ$2:$AJ$41,AK13,Lista_suspensa!$AM$2:$AM$41)/100,"")</f>
        <v/>
      </c>
      <c r="AO13" s="78" t="str">
        <f>IFERROR(AVERAGEIF(Lista_suspensa!$AJ$2:$AJ$41,AK13,Lista_suspensa!$AL$2:$AL$41),"")</f>
        <v/>
      </c>
      <c r="AP13" s="73" t="str">
        <f t="shared" si="10"/>
        <v/>
      </c>
      <c r="AQ13" s="203" t="str">
        <f t="shared" si="11"/>
        <v/>
      </c>
      <c r="AR13" s="58"/>
      <c r="AS13" s="436">
        <f t="shared" si="2"/>
        <v>0</v>
      </c>
      <c r="AT13" s="437"/>
      <c r="AU13" s="177">
        <f t="shared" si="3"/>
        <v>0</v>
      </c>
      <c r="AV13" s="77" t="str">
        <f>IFERROR(AVERAGEIF(Lista_suspensa!$W$2:$W$41,AS13,Lista_suspensa!$AB$2:$AB$41)/100,"")</f>
        <v/>
      </c>
      <c r="AW13" s="78" t="str">
        <f>IFERROR(AVERAGEIF(Lista_suspensa!$W$2:$W$41,AS13,Lista_suspensa!$Y$2:$Y$41),"")</f>
        <v/>
      </c>
      <c r="AX13" s="73" t="str">
        <f t="shared" si="15"/>
        <v/>
      </c>
      <c r="AY13" s="203" t="str">
        <f t="shared" si="12"/>
        <v/>
      </c>
      <c r="AZ13" s="58"/>
      <c r="BA13" s="436">
        <f t="shared" si="4"/>
        <v>0</v>
      </c>
      <c r="BB13" s="437"/>
      <c r="BC13" s="80">
        <f t="shared" si="5"/>
        <v>0</v>
      </c>
      <c r="BD13" s="74" t="str">
        <f>IFERROR(AVERAGEIF(Lista_suspensa!$P$2:$P$41,BA13,Lista_suspensa!$U$2:$U$41)/100,"")</f>
        <v/>
      </c>
      <c r="BE13" s="75" t="str">
        <f>IFERROR(AVERAGEIF(Lista_suspensa!$P$2:$P$41,BA13,Lista_suspensa!$R$2:$R$41),"")</f>
        <v/>
      </c>
      <c r="BF13" s="72" t="str">
        <f t="shared" si="13"/>
        <v/>
      </c>
      <c r="BG13" s="203" t="str">
        <f t="shared" si="14"/>
        <v/>
      </c>
      <c r="BH13" s="59"/>
    </row>
    <row r="14" spans="2:60" ht="15" outlineLevel="1" x14ac:dyDescent="0.25">
      <c r="B14" s="56"/>
      <c r="C14" s="294" t="s">
        <v>26</v>
      </c>
      <c r="D14" s="86">
        <v>15</v>
      </c>
      <c r="E14" s="47">
        <f t="shared" si="16"/>
        <v>8.2146768893756848E-3</v>
      </c>
      <c r="F14" s="87"/>
      <c r="G14" s="59"/>
      <c r="I14" s="56"/>
      <c r="J14" s="443"/>
      <c r="K14" s="444"/>
      <c r="L14" s="89"/>
      <c r="M14" s="379"/>
      <c r="N14" s="70"/>
      <c r="O14" s="62"/>
      <c r="P14" s="89"/>
      <c r="Q14" s="379"/>
      <c r="R14" s="70"/>
      <c r="S14" s="71"/>
      <c r="T14" s="89"/>
      <c r="U14" s="72"/>
      <c r="V14" s="58"/>
      <c r="W14" s="71"/>
      <c r="X14" s="89"/>
      <c r="Y14" s="72"/>
      <c r="Z14" s="59"/>
      <c r="AB14" s="56"/>
      <c r="AC14" s="436">
        <f t="shared" si="6"/>
        <v>0</v>
      </c>
      <c r="AD14" s="437"/>
      <c r="AE14" s="73">
        <f t="shared" si="7"/>
        <v>0</v>
      </c>
      <c r="AF14" s="74" t="str">
        <f>IFERROR(AVERAGEIF(Lista_suspensa!$AD$2:$AD$41,AC14,Lista_suspensa!$AG$2:$AG$41)/100,"")</f>
        <v/>
      </c>
      <c r="AG14" s="75" t="str">
        <f>IFERROR(AVERAGEIF(Lista_suspensa!$AD$2:$AD$41,AC14,Lista_suspensa!$AF$2:$AF$41),"")</f>
        <v/>
      </c>
      <c r="AH14" s="73" t="str">
        <f t="shared" si="8"/>
        <v/>
      </c>
      <c r="AI14" s="203" t="str">
        <f t="shared" si="9"/>
        <v/>
      </c>
      <c r="AJ14" s="58"/>
      <c r="AK14" s="436">
        <f t="shared" si="0"/>
        <v>0</v>
      </c>
      <c r="AL14" s="437"/>
      <c r="AM14" s="76">
        <f t="shared" si="1"/>
        <v>0</v>
      </c>
      <c r="AN14" s="77" t="str">
        <f>IFERROR(AVERAGEIF(Lista_suspensa!$AJ$2:$AJ$41,AK14,Lista_suspensa!$AM$2:$AM$41)/100,"")</f>
        <v/>
      </c>
      <c r="AO14" s="78" t="str">
        <f>IFERROR(AVERAGEIF(Lista_suspensa!$AJ$2:$AJ$41,AK14,Lista_suspensa!$AL$2:$AL$41),"")</f>
        <v/>
      </c>
      <c r="AP14" s="73" t="str">
        <f t="shared" si="10"/>
        <v/>
      </c>
      <c r="AQ14" s="203" t="str">
        <f t="shared" si="11"/>
        <v/>
      </c>
      <c r="AR14" s="58"/>
      <c r="AS14" s="436">
        <f t="shared" si="2"/>
        <v>0</v>
      </c>
      <c r="AT14" s="437"/>
      <c r="AU14" s="177">
        <f t="shared" si="3"/>
        <v>0</v>
      </c>
      <c r="AV14" s="77" t="str">
        <f>IFERROR(AVERAGEIF(Lista_suspensa!$W$2:$W$41,AS14,Lista_suspensa!$AB$2:$AB$41)/100,"")</f>
        <v/>
      </c>
      <c r="AW14" s="78" t="str">
        <f>IFERROR(AVERAGEIF(Lista_suspensa!$W$2:$W$41,AS14,Lista_suspensa!$Y$2:$Y$41),"")</f>
        <v/>
      </c>
      <c r="AX14" s="73" t="str">
        <f t="shared" si="15"/>
        <v/>
      </c>
      <c r="AY14" s="203" t="str">
        <f t="shared" si="12"/>
        <v/>
      </c>
      <c r="AZ14" s="58"/>
      <c r="BA14" s="436">
        <f t="shared" si="4"/>
        <v>0</v>
      </c>
      <c r="BB14" s="437"/>
      <c r="BC14" s="80">
        <f t="shared" si="5"/>
        <v>0</v>
      </c>
      <c r="BD14" s="74" t="str">
        <f>IFERROR(AVERAGEIF(Lista_suspensa!$P$2:$P$41,BA14,Lista_suspensa!$U$2:$U$41)/100,"")</f>
        <v/>
      </c>
      <c r="BE14" s="75" t="str">
        <f>IFERROR(AVERAGEIF(Lista_suspensa!$P$2:$P$41,BA14,Lista_suspensa!$R$2:$R$41),"")</f>
        <v/>
      </c>
      <c r="BF14" s="72" t="str">
        <f t="shared" si="13"/>
        <v/>
      </c>
      <c r="BG14" s="203" t="str">
        <f t="shared" si="14"/>
        <v/>
      </c>
      <c r="BH14" s="59"/>
    </row>
    <row r="15" spans="2:60" ht="15.75" outlineLevel="1" thickBot="1" x14ac:dyDescent="0.3">
      <c r="B15" s="56"/>
      <c r="C15" s="330" t="s">
        <v>15</v>
      </c>
      <c r="D15" s="176">
        <v>11</v>
      </c>
      <c r="E15" s="285">
        <f t="shared" si="16"/>
        <v>6.024096385542169E-3</v>
      </c>
      <c r="F15" s="287"/>
      <c r="G15" s="59"/>
      <c r="I15" s="56"/>
      <c r="J15" s="443"/>
      <c r="K15" s="444"/>
      <c r="L15" s="89"/>
      <c r="M15" s="379"/>
      <c r="N15" s="70"/>
      <c r="O15" s="62"/>
      <c r="P15" s="89"/>
      <c r="Q15" s="379"/>
      <c r="R15" s="70"/>
      <c r="S15" s="71"/>
      <c r="T15" s="89"/>
      <c r="U15" s="72"/>
      <c r="V15" s="58"/>
      <c r="W15" s="71"/>
      <c r="X15" s="89"/>
      <c r="Y15" s="72"/>
      <c r="Z15" s="59"/>
      <c r="AB15" s="56"/>
      <c r="AC15" s="436">
        <f t="shared" si="6"/>
        <v>0</v>
      </c>
      <c r="AD15" s="437"/>
      <c r="AE15" s="73">
        <f t="shared" si="7"/>
        <v>0</v>
      </c>
      <c r="AF15" s="74" t="str">
        <f>IFERROR(AVERAGEIF(Lista_suspensa!$AD$2:$AD$41,AC15,Lista_suspensa!$AG$2:$AG$41)/100,"")</f>
        <v/>
      </c>
      <c r="AG15" s="75" t="str">
        <f>IFERROR(AVERAGEIF(Lista_suspensa!$AD$2:$AD$41,AC15,Lista_suspensa!$AF$2:$AF$41),"")</f>
        <v/>
      </c>
      <c r="AH15" s="73" t="str">
        <f t="shared" si="8"/>
        <v/>
      </c>
      <c r="AI15" s="203" t="str">
        <f t="shared" si="9"/>
        <v/>
      </c>
      <c r="AJ15" s="58"/>
      <c r="AK15" s="436">
        <f t="shared" si="0"/>
        <v>0</v>
      </c>
      <c r="AL15" s="437"/>
      <c r="AM15" s="76">
        <f t="shared" si="1"/>
        <v>0</v>
      </c>
      <c r="AN15" s="77" t="str">
        <f>IFERROR(AVERAGEIF(Lista_suspensa!$AJ$2:$AJ$41,AK15,Lista_suspensa!$AM$2:$AM$41)/100,"")</f>
        <v/>
      </c>
      <c r="AO15" s="78" t="str">
        <f>IFERROR(AVERAGEIF(Lista_suspensa!$AJ$2:$AJ$41,AK15,Lista_suspensa!$AL$2:$AL$41),"")</f>
        <v/>
      </c>
      <c r="AP15" s="73" t="str">
        <f t="shared" si="10"/>
        <v/>
      </c>
      <c r="AQ15" s="203" t="str">
        <f t="shared" si="11"/>
        <v/>
      </c>
      <c r="AR15" s="58"/>
      <c r="AS15" s="436">
        <f t="shared" si="2"/>
        <v>0</v>
      </c>
      <c r="AT15" s="437"/>
      <c r="AU15" s="177">
        <f t="shared" si="3"/>
        <v>0</v>
      </c>
      <c r="AV15" s="77" t="str">
        <f>IFERROR(AVERAGEIF(Lista_suspensa!$W$2:$W$41,AS15,Lista_suspensa!$AB$2:$AB$41)/100,"")</f>
        <v/>
      </c>
      <c r="AW15" s="78" t="str">
        <f>IFERROR(AVERAGEIF(Lista_suspensa!$W$2:$W$41,AS15,Lista_suspensa!$Y$2:$Y$41),"")</f>
        <v/>
      </c>
      <c r="AX15" s="73" t="str">
        <f t="shared" si="15"/>
        <v/>
      </c>
      <c r="AY15" s="203" t="str">
        <f t="shared" si="12"/>
        <v/>
      </c>
      <c r="AZ15" s="58"/>
      <c r="BA15" s="436">
        <f t="shared" si="4"/>
        <v>0</v>
      </c>
      <c r="BB15" s="437"/>
      <c r="BC15" s="80">
        <f t="shared" si="5"/>
        <v>0</v>
      </c>
      <c r="BD15" s="74" t="str">
        <f>IFERROR(AVERAGEIF(Lista_suspensa!$P$2:$P$41,BA15,Lista_suspensa!$U$2:$U$41)/100,"")</f>
        <v/>
      </c>
      <c r="BE15" s="75" t="str">
        <f>IFERROR(AVERAGEIF(Lista_suspensa!$P$2:$P$41,BA15,Lista_suspensa!$R$2:$R$41),"")</f>
        <v/>
      </c>
      <c r="BF15" s="72" t="str">
        <f t="shared" si="13"/>
        <v/>
      </c>
      <c r="BG15" s="203" t="str">
        <f t="shared" si="14"/>
        <v/>
      </c>
      <c r="BH15" s="59"/>
    </row>
    <row r="16" spans="2:60" ht="15.75" outlineLevel="1" thickBot="1" x14ac:dyDescent="0.3">
      <c r="B16" s="56"/>
      <c r="C16" s="329" t="s">
        <v>27</v>
      </c>
      <c r="D16" s="282">
        <f>SUM(D11:D15)</f>
        <v>1826</v>
      </c>
      <c r="E16" s="286">
        <f t="shared" si="16"/>
        <v>1</v>
      </c>
      <c r="F16" s="288"/>
      <c r="G16" s="59"/>
      <c r="I16" s="56"/>
      <c r="J16" s="443"/>
      <c r="K16" s="444"/>
      <c r="L16" s="89"/>
      <c r="M16" s="379"/>
      <c r="N16" s="70"/>
      <c r="O16" s="62"/>
      <c r="P16" s="89"/>
      <c r="Q16" s="379"/>
      <c r="R16" s="70"/>
      <c r="S16" s="71"/>
      <c r="T16" s="89"/>
      <c r="U16" s="72"/>
      <c r="V16" s="58"/>
      <c r="W16" s="71"/>
      <c r="X16" s="89"/>
      <c r="Y16" s="72"/>
      <c r="Z16" s="59"/>
      <c r="AB16" s="56"/>
      <c r="AC16" s="436">
        <f t="shared" si="6"/>
        <v>0</v>
      </c>
      <c r="AD16" s="437"/>
      <c r="AE16" s="73">
        <f t="shared" si="7"/>
        <v>0</v>
      </c>
      <c r="AF16" s="74" t="str">
        <f>IFERROR(AVERAGEIF(Lista_suspensa!$AD$2:$AD$41,AC16,Lista_suspensa!$AG$2:$AG$41)/100,"")</f>
        <v/>
      </c>
      <c r="AG16" s="75" t="str">
        <f>IFERROR(AVERAGEIF(Lista_suspensa!$AD$2:$AD$41,AC16,Lista_suspensa!$AF$2:$AF$41),"")</f>
        <v/>
      </c>
      <c r="AH16" s="73" t="str">
        <f t="shared" si="8"/>
        <v/>
      </c>
      <c r="AI16" s="203" t="str">
        <f t="shared" si="9"/>
        <v/>
      </c>
      <c r="AJ16" s="58"/>
      <c r="AK16" s="436">
        <f t="shared" si="0"/>
        <v>0</v>
      </c>
      <c r="AL16" s="437"/>
      <c r="AM16" s="76">
        <f t="shared" si="1"/>
        <v>0</v>
      </c>
      <c r="AN16" s="77" t="str">
        <f>IFERROR(AVERAGEIF(Lista_suspensa!$AJ$2:$AJ$41,AK16,Lista_suspensa!$AM$2:$AM$41)/100,"")</f>
        <v/>
      </c>
      <c r="AO16" s="78" t="str">
        <f>IFERROR(AVERAGEIF(Lista_suspensa!$AJ$2:$AJ$41,AK16,Lista_suspensa!$AL$2:$AL$41),"")</f>
        <v/>
      </c>
      <c r="AP16" s="73" t="str">
        <f t="shared" si="10"/>
        <v/>
      </c>
      <c r="AQ16" s="203" t="str">
        <f t="shared" si="11"/>
        <v/>
      </c>
      <c r="AR16" s="58"/>
      <c r="AS16" s="436">
        <f t="shared" si="2"/>
        <v>0</v>
      </c>
      <c r="AT16" s="437"/>
      <c r="AU16" s="177">
        <f t="shared" si="3"/>
        <v>0</v>
      </c>
      <c r="AV16" s="77" t="str">
        <f>IFERROR(AVERAGEIF(Lista_suspensa!$W$2:$W$41,AS16,Lista_suspensa!$AB$2:$AB$41)/100,"")</f>
        <v/>
      </c>
      <c r="AW16" s="78" t="str">
        <f>IFERROR(AVERAGEIF(Lista_suspensa!$W$2:$W$41,AS16,Lista_suspensa!$Y$2:$Y$41),"")</f>
        <v/>
      </c>
      <c r="AX16" s="73" t="str">
        <f t="shared" si="15"/>
        <v/>
      </c>
      <c r="AY16" s="203" t="str">
        <f t="shared" si="12"/>
        <v/>
      </c>
      <c r="AZ16" s="58"/>
      <c r="BA16" s="436">
        <f t="shared" si="4"/>
        <v>0</v>
      </c>
      <c r="BB16" s="437"/>
      <c r="BC16" s="80">
        <f t="shared" si="5"/>
        <v>0</v>
      </c>
      <c r="BD16" s="74" t="str">
        <f>IFERROR(AVERAGEIF(Lista_suspensa!$P$2:$P$41,BA16,Lista_suspensa!$U$2:$U$41)/100,"")</f>
        <v/>
      </c>
      <c r="BE16" s="75" t="str">
        <f>IFERROR(AVERAGEIF(Lista_suspensa!$P$2:$P$41,BA16,Lista_suspensa!$R$2:$R$41),"")</f>
        <v/>
      </c>
      <c r="BF16" s="72" t="str">
        <f t="shared" si="13"/>
        <v/>
      </c>
      <c r="BG16" s="203" t="str">
        <f t="shared" si="14"/>
        <v/>
      </c>
      <c r="BH16" s="59"/>
    </row>
    <row r="17" spans="2:60" ht="15.75" outlineLevel="1" thickBot="1" x14ac:dyDescent="0.3">
      <c r="B17" s="56"/>
      <c r="C17" s="58"/>
      <c r="D17" s="58"/>
      <c r="E17" s="58"/>
      <c r="F17" s="58"/>
      <c r="G17" s="59"/>
      <c r="I17" s="56"/>
      <c r="J17" s="443"/>
      <c r="K17" s="444"/>
      <c r="L17" s="89"/>
      <c r="M17" s="156"/>
      <c r="N17" s="91"/>
      <c r="O17" s="62"/>
      <c r="P17" s="89"/>
      <c r="Q17" s="156"/>
      <c r="R17" s="91"/>
      <c r="S17" s="71"/>
      <c r="T17" s="89"/>
      <c r="U17" s="356"/>
      <c r="V17" s="92"/>
      <c r="W17" s="71"/>
      <c r="X17" s="89"/>
      <c r="Y17" s="356"/>
      <c r="Z17" s="93"/>
      <c r="AB17" s="56"/>
      <c r="AC17" s="436">
        <f t="shared" si="6"/>
        <v>0</v>
      </c>
      <c r="AD17" s="437"/>
      <c r="AE17" s="73">
        <f t="shared" si="7"/>
        <v>0</v>
      </c>
      <c r="AF17" s="74" t="str">
        <f>IFERROR(AVERAGEIF(Lista_suspensa!$AD$2:$AD$41,AC17,Lista_suspensa!$AG$2:$AG$41)/100,"")</f>
        <v/>
      </c>
      <c r="AG17" s="75" t="str">
        <f>IFERROR(AVERAGEIF(Lista_suspensa!$AD$2:$AD$41,AC17,Lista_suspensa!$AF$2:$AF$41),"")</f>
        <v/>
      </c>
      <c r="AH17" s="73" t="str">
        <f t="shared" si="8"/>
        <v/>
      </c>
      <c r="AI17" s="203" t="str">
        <f t="shared" si="9"/>
        <v/>
      </c>
      <c r="AJ17" s="58"/>
      <c r="AK17" s="436">
        <f t="shared" si="0"/>
        <v>0</v>
      </c>
      <c r="AL17" s="437"/>
      <c r="AM17" s="76">
        <f t="shared" si="1"/>
        <v>0</v>
      </c>
      <c r="AN17" s="77" t="str">
        <f>IFERROR(AVERAGEIF(Lista_suspensa!$AJ$2:$AJ$41,AK17,Lista_suspensa!$AM$2:$AM$41)/100,"")</f>
        <v/>
      </c>
      <c r="AO17" s="78" t="str">
        <f>IFERROR(AVERAGEIF(Lista_suspensa!$AJ$2:$AJ$41,AK17,Lista_suspensa!$AL$2:$AL$41),"")</f>
        <v/>
      </c>
      <c r="AP17" s="73" t="str">
        <f t="shared" si="10"/>
        <v/>
      </c>
      <c r="AQ17" s="203" t="str">
        <f t="shared" si="11"/>
        <v/>
      </c>
      <c r="AR17" s="58"/>
      <c r="AS17" s="436">
        <f t="shared" si="2"/>
        <v>0</v>
      </c>
      <c r="AT17" s="437"/>
      <c r="AU17" s="177">
        <f t="shared" si="3"/>
        <v>0</v>
      </c>
      <c r="AV17" s="77" t="str">
        <f>IFERROR(AVERAGEIF(Lista_suspensa!$W$2:$W$41,AS17,Lista_suspensa!$AB$2:$AB$41)/100,"")</f>
        <v/>
      </c>
      <c r="AW17" s="78" t="str">
        <f>IFERROR(AVERAGEIF(Lista_suspensa!$W$2:$W$41,AS17,Lista_suspensa!$Y$2:$Y$41),"")</f>
        <v/>
      </c>
      <c r="AX17" s="73" t="str">
        <f t="shared" si="15"/>
        <v/>
      </c>
      <c r="AY17" s="203" t="str">
        <f t="shared" si="12"/>
        <v/>
      </c>
      <c r="AZ17" s="58"/>
      <c r="BA17" s="436">
        <f t="shared" si="4"/>
        <v>0</v>
      </c>
      <c r="BB17" s="437"/>
      <c r="BC17" s="80">
        <f t="shared" si="5"/>
        <v>0</v>
      </c>
      <c r="BD17" s="74" t="str">
        <f>IFERROR(AVERAGEIF(Lista_suspensa!$P$2:$P$41,BA17,Lista_suspensa!$U$2:$U$41)/100,"")</f>
        <v/>
      </c>
      <c r="BE17" s="75" t="str">
        <f>IFERROR(AVERAGEIF(Lista_suspensa!$P$2:$P$41,BA17,Lista_suspensa!$R$2:$R$41),"")</f>
        <v/>
      </c>
      <c r="BF17" s="72" t="str">
        <f t="shared" si="13"/>
        <v/>
      </c>
      <c r="BG17" s="203" t="str">
        <f t="shared" si="14"/>
        <v/>
      </c>
      <c r="BH17" s="59"/>
    </row>
    <row r="18" spans="2:60" ht="15.75" outlineLevel="1" thickBot="1" x14ac:dyDescent="0.3">
      <c r="B18" s="56"/>
      <c r="C18" s="178" t="s">
        <v>10</v>
      </c>
      <c r="D18" s="236" t="s">
        <v>28</v>
      </c>
      <c r="E18" s="236" t="s">
        <v>12</v>
      </c>
      <c r="F18" s="180" t="s">
        <v>13</v>
      </c>
      <c r="G18" s="59"/>
      <c r="I18" s="56"/>
      <c r="J18" s="443"/>
      <c r="K18" s="444"/>
      <c r="L18" s="89"/>
      <c r="M18" s="156"/>
      <c r="N18" s="91"/>
      <c r="O18" s="62"/>
      <c r="P18" s="89"/>
      <c r="Q18" s="156"/>
      <c r="R18" s="91"/>
      <c r="S18" s="71"/>
      <c r="T18" s="89"/>
      <c r="U18" s="356"/>
      <c r="V18" s="92"/>
      <c r="W18" s="71"/>
      <c r="X18" s="89"/>
      <c r="Y18" s="356"/>
      <c r="Z18" s="93"/>
      <c r="AB18" s="56"/>
      <c r="AC18" s="436">
        <f t="shared" si="6"/>
        <v>0</v>
      </c>
      <c r="AD18" s="437"/>
      <c r="AE18" s="73">
        <f t="shared" si="7"/>
        <v>0</v>
      </c>
      <c r="AF18" s="74" t="str">
        <f>IFERROR(AVERAGEIF(Lista_suspensa!$AD$2:$AD$41,AC18,Lista_suspensa!$AG$2:$AG$41)/100,"")</f>
        <v/>
      </c>
      <c r="AG18" s="75" t="str">
        <f>IFERROR(AVERAGEIF(Lista_suspensa!$AD$2:$AD$41,AC18,Lista_suspensa!$AF$2:$AF$41),"")</f>
        <v/>
      </c>
      <c r="AH18" s="73" t="str">
        <f t="shared" si="8"/>
        <v/>
      </c>
      <c r="AI18" s="203" t="str">
        <f t="shared" si="9"/>
        <v/>
      </c>
      <c r="AJ18" s="58"/>
      <c r="AK18" s="436">
        <f t="shared" si="0"/>
        <v>0</v>
      </c>
      <c r="AL18" s="437"/>
      <c r="AM18" s="76">
        <f t="shared" si="1"/>
        <v>0</v>
      </c>
      <c r="AN18" s="77" t="str">
        <f>IFERROR(AVERAGEIF(Lista_suspensa!$AJ$2:$AJ$41,AK18,Lista_suspensa!$AM$2:$AM$41)/100,"")</f>
        <v/>
      </c>
      <c r="AO18" s="78" t="str">
        <f>IFERROR(AVERAGEIF(Lista_suspensa!$AJ$2:$AJ$41,AK18,Lista_suspensa!$AL$2:$AL$41),"")</f>
        <v/>
      </c>
      <c r="AP18" s="73" t="str">
        <f t="shared" si="10"/>
        <v/>
      </c>
      <c r="AQ18" s="203" t="str">
        <f t="shared" si="11"/>
        <v/>
      </c>
      <c r="AR18" s="58"/>
      <c r="AS18" s="436">
        <f t="shared" si="2"/>
        <v>0</v>
      </c>
      <c r="AT18" s="437"/>
      <c r="AU18" s="177">
        <f t="shared" si="3"/>
        <v>0</v>
      </c>
      <c r="AV18" s="77" t="str">
        <f>IFERROR(AVERAGEIF(Lista_suspensa!$W$2:$W$41,AS18,Lista_suspensa!$AB$2:$AB$41)/100,"")</f>
        <v/>
      </c>
      <c r="AW18" s="78" t="str">
        <f>IFERROR(AVERAGEIF(Lista_suspensa!$W$2:$W$41,AS18,Lista_suspensa!$Y$2:$Y$41),"")</f>
        <v/>
      </c>
      <c r="AX18" s="73" t="str">
        <f t="shared" si="15"/>
        <v/>
      </c>
      <c r="AY18" s="203" t="str">
        <f t="shared" si="12"/>
        <v/>
      </c>
      <c r="AZ18" s="58"/>
      <c r="BA18" s="436">
        <f t="shared" si="4"/>
        <v>0</v>
      </c>
      <c r="BB18" s="437"/>
      <c r="BC18" s="80">
        <f t="shared" si="5"/>
        <v>0</v>
      </c>
      <c r="BD18" s="74" t="str">
        <f>IFERROR(AVERAGEIF(Lista_suspensa!$P$2:$P$41,BA18,Lista_suspensa!$U$2:$U$41)/100,"")</f>
        <v/>
      </c>
      <c r="BE18" s="75" t="str">
        <f>IFERROR(AVERAGEIF(Lista_suspensa!$P$2:$P$41,BA18,Lista_suspensa!$R$2:$R$41),"")</f>
        <v/>
      </c>
      <c r="BF18" s="72" t="str">
        <f t="shared" si="13"/>
        <v/>
      </c>
      <c r="BG18" s="203" t="str">
        <f t="shared" si="14"/>
        <v/>
      </c>
      <c r="BH18" s="59"/>
    </row>
    <row r="19" spans="2:60" ht="15" outlineLevel="1" x14ac:dyDescent="0.25">
      <c r="B19" s="56"/>
      <c r="C19" s="293" t="s">
        <v>29</v>
      </c>
      <c r="D19" s="98">
        <v>15</v>
      </c>
      <c r="E19" s="98">
        <v>321</v>
      </c>
      <c r="F19" s="121">
        <f t="shared" ref="F19:F25" si="17">(D19*E19)/450</f>
        <v>10.7</v>
      </c>
      <c r="G19" s="59"/>
      <c r="I19" s="56"/>
      <c r="J19" s="443"/>
      <c r="K19" s="444"/>
      <c r="L19" s="89"/>
      <c r="M19" s="156"/>
      <c r="N19" s="91"/>
      <c r="O19" s="62"/>
      <c r="P19" s="89"/>
      <c r="Q19" s="156"/>
      <c r="R19" s="91"/>
      <c r="S19" s="71"/>
      <c r="T19" s="89"/>
      <c r="U19" s="356"/>
      <c r="V19" s="92"/>
      <c r="W19" s="71"/>
      <c r="X19" s="89"/>
      <c r="Y19" s="356"/>
      <c r="Z19" s="93"/>
      <c r="AB19" s="56"/>
      <c r="AC19" s="436">
        <f t="shared" si="6"/>
        <v>0</v>
      </c>
      <c r="AD19" s="437"/>
      <c r="AE19" s="73">
        <f t="shared" si="7"/>
        <v>0</v>
      </c>
      <c r="AF19" s="74" t="str">
        <f>IFERROR(AVERAGEIF(Lista_suspensa!$AD$2:$AD$41,AC19,Lista_suspensa!$AG$2:$AG$41)/100,"")</f>
        <v/>
      </c>
      <c r="AG19" s="75" t="str">
        <f>IFERROR(AVERAGEIF(Lista_suspensa!$AD$2:$AD$41,AC19,Lista_suspensa!$AF$2:$AF$41),"")</f>
        <v/>
      </c>
      <c r="AH19" s="73" t="str">
        <f t="shared" si="8"/>
        <v/>
      </c>
      <c r="AI19" s="203" t="str">
        <f t="shared" si="9"/>
        <v/>
      </c>
      <c r="AJ19" s="58"/>
      <c r="AK19" s="436">
        <f t="shared" si="0"/>
        <v>0</v>
      </c>
      <c r="AL19" s="437"/>
      <c r="AM19" s="76">
        <f t="shared" si="1"/>
        <v>0</v>
      </c>
      <c r="AN19" s="77" t="str">
        <f>IFERROR(AVERAGEIF(Lista_suspensa!$AJ$2:$AJ$41,AK19,Lista_suspensa!$AM$2:$AM$41)/100,"")</f>
        <v/>
      </c>
      <c r="AO19" s="78" t="str">
        <f>IFERROR(AVERAGEIF(Lista_suspensa!$AJ$2:$AJ$41,AK19,Lista_suspensa!$AL$2:$AL$41),"")</f>
        <v/>
      </c>
      <c r="AP19" s="73" t="str">
        <f t="shared" si="10"/>
        <v/>
      </c>
      <c r="AQ19" s="203" t="str">
        <f t="shared" si="11"/>
        <v/>
      </c>
      <c r="AR19" s="58"/>
      <c r="AS19" s="436">
        <f t="shared" si="2"/>
        <v>0</v>
      </c>
      <c r="AT19" s="437"/>
      <c r="AU19" s="177">
        <f t="shared" si="3"/>
        <v>0</v>
      </c>
      <c r="AV19" s="77" t="str">
        <f>IFERROR(AVERAGEIF(Lista_suspensa!$W$2:$W$41,AS19,Lista_suspensa!$AB$2:$AB$41)/100,"")</f>
        <v/>
      </c>
      <c r="AW19" s="78" t="str">
        <f>IFERROR(AVERAGEIF(Lista_suspensa!$W$2:$W$41,AS19,Lista_suspensa!$Y$2:$Y$41),"")</f>
        <v/>
      </c>
      <c r="AX19" s="73" t="str">
        <f t="shared" si="15"/>
        <v/>
      </c>
      <c r="AY19" s="203" t="str">
        <f t="shared" si="12"/>
        <v/>
      </c>
      <c r="AZ19" s="58"/>
      <c r="BA19" s="436">
        <f t="shared" si="4"/>
        <v>0</v>
      </c>
      <c r="BB19" s="437"/>
      <c r="BC19" s="72">
        <f t="shared" si="5"/>
        <v>0</v>
      </c>
      <c r="BD19" s="74" t="str">
        <f>IFERROR(AVERAGEIF(Lista_suspensa!$P$2:$P$41,BA19,Lista_suspensa!$U$2:$U$41)/100,"")</f>
        <v/>
      </c>
      <c r="BE19" s="75" t="str">
        <f>IFERROR(AVERAGEIF(Lista_suspensa!$P$2:$P$41,BA19,Lista_suspensa!$R$2:$R$41),"")</f>
        <v/>
      </c>
      <c r="BF19" s="72" t="str">
        <f t="shared" si="13"/>
        <v/>
      </c>
      <c r="BG19" s="203" t="str">
        <f t="shared" si="14"/>
        <v/>
      </c>
      <c r="BH19" s="59"/>
    </row>
    <row r="20" spans="2:60" ht="15" outlineLevel="1" x14ac:dyDescent="0.25">
      <c r="B20" s="56"/>
      <c r="C20" s="294" t="s">
        <v>30</v>
      </c>
      <c r="D20" s="79">
        <v>12</v>
      </c>
      <c r="E20" s="98">
        <v>321</v>
      </c>
      <c r="F20" s="120">
        <f t="shared" si="17"/>
        <v>8.56</v>
      </c>
      <c r="G20" s="59"/>
      <c r="I20" s="56"/>
      <c r="J20" s="443"/>
      <c r="K20" s="444"/>
      <c r="L20" s="89"/>
      <c r="M20" s="156"/>
      <c r="N20" s="91"/>
      <c r="O20" s="62"/>
      <c r="P20" s="89"/>
      <c r="Q20" s="156"/>
      <c r="R20" s="91"/>
      <c r="S20" s="71"/>
      <c r="T20" s="89"/>
      <c r="U20" s="356"/>
      <c r="V20" s="94"/>
      <c r="W20" s="71"/>
      <c r="X20" s="89"/>
      <c r="Y20" s="356"/>
      <c r="Z20" s="93"/>
      <c r="AB20" s="56"/>
      <c r="AC20" s="436">
        <f t="shared" si="6"/>
        <v>0</v>
      </c>
      <c r="AD20" s="437"/>
      <c r="AE20" s="73">
        <f t="shared" si="7"/>
        <v>0</v>
      </c>
      <c r="AF20" s="74" t="str">
        <f>IFERROR(AVERAGEIF(Lista_suspensa!$AD$2:$AD$41,AC20,Lista_suspensa!$AG$2:$AG$41)/100,"")</f>
        <v/>
      </c>
      <c r="AG20" s="75" t="str">
        <f>IFERROR(AVERAGEIF(Lista_suspensa!$AD$2:$AD$41,AC20,Lista_suspensa!$AF$2:$AF$41),"")</f>
        <v/>
      </c>
      <c r="AH20" s="73" t="str">
        <f t="shared" si="8"/>
        <v/>
      </c>
      <c r="AI20" s="203" t="str">
        <f t="shared" si="9"/>
        <v/>
      </c>
      <c r="AJ20" s="58"/>
      <c r="AK20" s="436">
        <f t="shared" si="0"/>
        <v>0</v>
      </c>
      <c r="AL20" s="437"/>
      <c r="AM20" s="76">
        <f t="shared" si="1"/>
        <v>0</v>
      </c>
      <c r="AN20" s="77" t="str">
        <f>IFERROR(AVERAGEIF(Lista_suspensa!$AJ$2:$AJ$41,AK20,Lista_suspensa!$AM$2:$AM$41)/100,"")</f>
        <v/>
      </c>
      <c r="AO20" s="78" t="str">
        <f>IFERROR(AVERAGEIF(Lista_suspensa!$AJ$2:$AJ$41,AK20,Lista_suspensa!$AL$2:$AL$41),"")</f>
        <v/>
      </c>
      <c r="AP20" s="73" t="str">
        <f t="shared" si="10"/>
        <v/>
      </c>
      <c r="AQ20" s="203" t="str">
        <f t="shared" si="11"/>
        <v/>
      </c>
      <c r="AR20" s="58"/>
      <c r="AS20" s="436">
        <f t="shared" si="2"/>
        <v>0</v>
      </c>
      <c r="AT20" s="437"/>
      <c r="AU20" s="177">
        <f t="shared" si="3"/>
        <v>0</v>
      </c>
      <c r="AV20" s="77" t="str">
        <f>IFERROR(AVERAGEIF(Lista_suspensa!$W$2:$W$41,AS20,Lista_suspensa!$AB$2:$AB$41)/100,"")</f>
        <v/>
      </c>
      <c r="AW20" s="78" t="str">
        <f>IFERROR(AVERAGEIF(Lista_suspensa!$W$2:$W$41,AS20,Lista_suspensa!$Y$2:$Y$41),"")</f>
        <v/>
      </c>
      <c r="AX20" s="73" t="str">
        <f t="shared" si="15"/>
        <v/>
      </c>
      <c r="AY20" s="203" t="str">
        <f t="shared" si="12"/>
        <v/>
      </c>
      <c r="AZ20" s="58"/>
      <c r="BA20" s="436">
        <f t="shared" si="4"/>
        <v>0</v>
      </c>
      <c r="BB20" s="437"/>
      <c r="BC20" s="72">
        <f t="shared" si="5"/>
        <v>0</v>
      </c>
      <c r="BD20" s="74" t="str">
        <f>IFERROR(AVERAGEIF(Lista_suspensa!$P$2:$P$41,BA20,Lista_suspensa!$U$2:$U$41)/100,"")</f>
        <v/>
      </c>
      <c r="BE20" s="75" t="str">
        <f>IFERROR(AVERAGEIF(Lista_suspensa!$P$2:$P$41,BA20,Lista_suspensa!$R$2:$R$41),"")</f>
        <v/>
      </c>
      <c r="BF20" s="72" t="str">
        <f t="shared" si="13"/>
        <v/>
      </c>
      <c r="BG20" s="203" t="str">
        <f t="shared" si="14"/>
        <v/>
      </c>
      <c r="BH20" s="59"/>
    </row>
    <row r="21" spans="2:60" ht="15" outlineLevel="1" x14ac:dyDescent="0.25">
      <c r="B21" s="56"/>
      <c r="C21" s="294" t="s">
        <v>31</v>
      </c>
      <c r="D21" s="79"/>
      <c r="E21" s="98"/>
      <c r="F21" s="120">
        <f t="shared" si="17"/>
        <v>0</v>
      </c>
      <c r="G21" s="59"/>
      <c r="I21" s="56"/>
      <c r="J21" s="443"/>
      <c r="K21" s="444"/>
      <c r="L21" s="89"/>
      <c r="M21" s="156"/>
      <c r="N21" s="91"/>
      <c r="O21" s="62"/>
      <c r="P21" s="89"/>
      <c r="Q21" s="156"/>
      <c r="R21" s="91"/>
      <c r="S21" s="71"/>
      <c r="T21" s="89"/>
      <c r="U21" s="356"/>
      <c r="V21" s="58"/>
      <c r="W21" s="71"/>
      <c r="X21" s="89"/>
      <c r="Y21" s="356"/>
      <c r="Z21" s="59"/>
      <c r="AB21" s="56"/>
      <c r="AC21" s="436">
        <f t="shared" si="6"/>
        <v>0</v>
      </c>
      <c r="AD21" s="437"/>
      <c r="AE21" s="73">
        <f t="shared" si="7"/>
        <v>0</v>
      </c>
      <c r="AF21" s="74" t="str">
        <f>IFERROR(AVERAGEIF(Lista_suspensa!$AD$2:$AD$41,AC21,Lista_suspensa!$AG$2:$AG$41)/100,"")</f>
        <v/>
      </c>
      <c r="AG21" s="75" t="str">
        <f>IFERROR(AVERAGEIF(Lista_suspensa!$AD$2:$AD$41,AC21,Lista_suspensa!$AF$2:$AF$41),"")</f>
        <v/>
      </c>
      <c r="AH21" s="73" t="str">
        <f t="shared" si="8"/>
        <v/>
      </c>
      <c r="AI21" s="203" t="str">
        <f t="shared" si="9"/>
        <v/>
      </c>
      <c r="AJ21" s="58"/>
      <c r="AK21" s="436">
        <f t="shared" si="0"/>
        <v>0</v>
      </c>
      <c r="AL21" s="437"/>
      <c r="AM21" s="76">
        <f t="shared" si="1"/>
        <v>0</v>
      </c>
      <c r="AN21" s="77" t="str">
        <f>IFERROR(AVERAGEIF(Lista_suspensa!$AJ$2:$AJ$41,AK21,Lista_suspensa!$AM$2:$AM$41)/100,"")</f>
        <v/>
      </c>
      <c r="AO21" s="78" t="str">
        <f>IFERROR(AVERAGEIF(Lista_suspensa!$AJ$2:$AJ$41,AK21,Lista_suspensa!$AL$2:$AL$41),"")</f>
        <v/>
      </c>
      <c r="AP21" s="73" t="str">
        <f t="shared" si="10"/>
        <v/>
      </c>
      <c r="AQ21" s="203" t="str">
        <f t="shared" si="11"/>
        <v/>
      </c>
      <c r="AR21" s="58"/>
      <c r="AS21" s="436">
        <f t="shared" si="2"/>
        <v>0</v>
      </c>
      <c r="AT21" s="437"/>
      <c r="AU21" s="177">
        <f t="shared" si="3"/>
        <v>0</v>
      </c>
      <c r="AV21" s="77" t="str">
        <f>IFERROR(AVERAGEIF(Lista_suspensa!$W$2:$W$41,AS21,Lista_suspensa!$AB$2:$AB$41)/100,"")</f>
        <v/>
      </c>
      <c r="AW21" s="78" t="str">
        <f>IFERROR(AVERAGEIF(Lista_suspensa!$W$2:$W$41,AS21,Lista_suspensa!$Y$2:$Y$41),"")</f>
        <v/>
      </c>
      <c r="AX21" s="73" t="str">
        <f t="shared" si="15"/>
        <v/>
      </c>
      <c r="AY21" s="203" t="str">
        <f t="shared" si="12"/>
        <v/>
      </c>
      <c r="AZ21" s="95"/>
      <c r="BA21" s="436">
        <f t="shared" si="4"/>
        <v>0</v>
      </c>
      <c r="BB21" s="437"/>
      <c r="BC21" s="72">
        <f t="shared" si="5"/>
        <v>0</v>
      </c>
      <c r="BD21" s="74" t="str">
        <f>IFERROR(AVERAGEIF(Lista_suspensa!$P$2:$P$41,BA21,Lista_suspensa!$U$2:$U$41)/100,"")</f>
        <v/>
      </c>
      <c r="BE21" s="75" t="str">
        <f>IFERROR(AVERAGEIF(Lista_suspensa!$P$2:$P$41,BA21,Lista_suspensa!$R$2:$R$41),"")</f>
        <v/>
      </c>
      <c r="BF21" s="72" t="str">
        <f t="shared" si="13"/>
        <v/>
      </c>
      <c r="BG21" s="203" t="str">
        <f t="shared" si="14"/>
        <v/>
      </c>
      <c r="BH21" s="59"/>
    </row>
    <row r="22" spans="2:60" ht="15" outlineLevel="1" x14ac:dyDescent="0.25">
      <c r="B22" s="56"/>
      <c r="C22" s="294" t="s">
        <v>32</v>
      </c>
      <c r="D22" s="79"/>
      <c r="E22" s="98">
        <v>321</v>
      </c>
      <c r="F22" s="120">
        <f t="shared" si="17"/>
        <v>0</v>
      </c>
      <c r="G22" s="59"/>
      <c r="I22" s="56"/>
      <c r="J22" s="443"/>
      <c r="K22" s="444"/>
      <c r="L22" s="89"/>
      <c r="M22" s="156"/>
      <c r="N22" s="91"/>
      <c r="O22" s="62"/>
      <c r="P22" s="89"/>
      <c r="Q22" s="156"/>
      <c r="R22" s="91"/>
      <c r="S22" s="71"/>
      <c r="T22" s="89"/>
      <c r="U22" s="356"/>
      <c r="V22" s="96"/>
      <c r="W22" s="71"/>
      <c r="X22" s="89"/>
      <c r="Y22" s="356"/>
      <c r="Z22" s="93"/>
      <c r="AB22" s="56"/>
      <c r="AC22" s="436">
        <f t="shared" si="6"/>
        <v>0</v>
      </c>
      <c r="AD22" s="437"/>
      <c r="AE22" s="73">
        <f t="shared" si="7"/>
        <v>0</v>
      </c>
      <c r="AF22" s="74" t="str">
        <f>IFERROR(AVERAGEIF(Lista_suspensa!$AD$2:$AD$41,AC22,Lista_suspensa!$AG$2:$AG$41)/100,"")</f>
        <v/>
      </c>
      <c r="AG22" s="75" t="str">
        <f>IFERROR(AVERAGEIF(Lista_suspensa!$AD$2:$AD$41,AC22,Lista_suspensa!$AF$2:$AF$41),"")</f>
        <v/>
      </c>
      <c r="AH22" s="73" t="str">
        <f t="shared" si="8"/>
        <v/>
      </c>
      <c r="AI22" s="203" t="str">
        <f t="shared" si="9"/>
        <v/>
      </c>
      <c r="AJ22" s="58"/>
      <c r="AK22" s="436">
        <f t="shared" si="0"/>
        <v>0</v>
      </c>
      <c r="AL22" s="437"/>
      <c r="AM22" s="76">
        <f t="shared" si="1"/>
        <v>0</v>
      </c>
      <c r="AN22" s="77" t="str">
        <f>IFERROR(AVERAGEIF(Lista_suspensa!$AJ$2:$AJ$41,AK22,Lista_suspensa!$AM$2:$AM$41)/100,"")</f>
        <v/>
      </c>
      <c r="AO22" s="78" t="str">
        <f>IFERROR(AVERAGEIF(Lista_suspensa!$AJ$2:$AJ$41,AK22,Lista_suspensa!$AL$2:$AL$41),"")</f>
        <v/>
      </c>
      <c r="AP22" s="73" t="str">
        <f t="shared" si="10"/>
        <v/>
      </c>
      <c r="AQ22" s="203" t="str">
        <f t="shared" si="11"/>
        <v/>
      </c>
      <c r="AR22" s="58"/>
      <c r="AS22" s="436">
        <f t="shared" si="2"/>
        <v>0</v>
      </c>
      <c r="AT22" s="437"/>
      <c r="AU22" s="177">
        <f t="shared" si="3"/>
        <v>0</v>
      </c>
      <c r="AV22" s="77" t="str">
        <f>IFERROR(AVERAGEIF(Lista_suspensa!$W$2:$W$41,AS22,Lista_suspensa!$AB$2:$AB$41)/100,"")</f>
        <v/>
      </c>
      <c r="AW22" s="78" t="str">
        <f>IFERROR(AVERAGEIF(Lista_suspensa!$W$2:$W$41,AS22,Lista_suspensa!$Y$2:$Y$41),"")</f>
        <v/>
      </c>
      <c r="AX22" s="73" t="str">
        <f t="shared" si="15"/>
        <v/>
      </c>
      <c r="AY22" s="203" t="str">
        <f t="shared" si="12"/>
        <v/>
      </c>
      <c r="AZ22" s="95"/>
      <c r="BA22" s="436">
        <f t="shared" si="4"/>
        <v>0</v>
      </c>
      <c r="BB22" s="437"/>
      <c r="BC22" s="72">
        <f t="shared" si="5"/>
        <v>0</v>
      </c>
      <c r="BD22" s="74" t="str">
        <f>IFERROR(AVERAGEIF(Lista_suspensa!$P$2:$P$41,BA22,Lista_suspensa!$U$2:$U$41)/100,"")</f>
        <v/>
      </c>
      <c r="BE22" s="75" t="str">
        <f>IFERROR(AVERAGEIF(Lista_suspensa!$P$2:$P$41,BA22,Lista_suspensa!$R$2:$R$41),"")</f>
        <v/>
      </c>
      <c r="BF22" s="72" t="str">
        <f t="shared" si="13"/>
        <v/>
      </c>
      <c r="BG22" s="203" t="str">
        <f t="shared" si="14"/>
        <v/>
      </c>
      <c r="BH22" s="59"/>
    </row>
    <row r="23" spans="2:60" ht="15" outlineLevel="1" x14ac:dyDescent="0.25">
      <c r="B23" s="56"/>
      <c r="C23" s="294" t="s">
        <v>33</v>
      </c>
      <c r="D23" s="79">
        <v>15</v>
      </c>
      <c r="E23" s="98">
        <v>321</v>
      </c>
      <c r="F23" s="120">
        <f t="shared" si="17"/>
        <v>10.7</v>
      </c>
      <c r="G23" s="59"/>
      <c r="I23" s="56"/>
      <c r="J23" s="443"/>
      <c r="K23" s="444"/>
      <c r="L23" s="89"/>
      <c r="M23" s="156"/>
      <c r="N23" s="91"/>
      <c r="O23" s="62"/>
      <c r="P23" s="89"/>
      <c r="Q23" s="156"/>
      <c r="R23" s="91"/>
      <c r="S23" s="71"/>
      <c r="T23" s="89"/>
      <c r="U23" s="356"/>
      <c r="V23" s="58"/>
      <c r="W23" s="71"/>
      <c r="X23" s="89"/>
      <c r="Y23" s="356"/>
      <c r="Z23" s="93"/>
      <c r="AB23" s="56"/>
      <c r="AC23" s="436">
        <f t="shared" si="6"/>
        <v>0</v>
      </c>
      <c r="AD23" s="437"/>
      <c r="AE23" s="73">
        <f t="shared" si="7"/>
        <v>0</v>
      </c>
      <c r="AF23" s="74" t="str">
        <f>IFERROR(AVERAGEIF(Lista_suspensa!$AD$2:$AD$41,AC23,Lista_suspensa!$AG$2:$AG$41)/100,"")</f>
        <v/>
      </c>
      <c r="AG23" s="75" t="str">
        <f>IFERROR(AVERAGEIF(Lista_suspensa!$AD$2:$AD$41,AC23,Lista_suspensa!$AF$2:$AF$41),"")</f>
        <v/>
      </c>
      <c r="AH23" s="73" t="str">
        <f t="shared" si="8"/>
        <v/>
      </c>
      <c r="AI23" s="203" t="str">
        <f t="shared" si="9"/>
        <v/>
      </c>
      <c r="AJ23" s="58"/>
      <c r="AK23" s="436">
        <f t="shared" si="0"/>
        <v>0</v>
      </c>
      <c r="AL23" s="437"/>
      <c r="AM23" s="76">
        <f t="shared" si="1"/>
        <v>0</v>
      </c>
      <c r="AN23" s="77" t="str">
        <f>IFERROR(AVERAGEIF(Lista_suspensa!$AJ$2:$AJ$41,AK23,Lista_suspensa!$AM$2:$AM$41)/100,"")</f>
        <v/>
      </c>
      <c r="AO23" s="78" t="str">
        <f>IFERROR(AVERAGEIF(Lista_suspensa!$AJ$2:$AJ$41,AK23,Lista_suspensa!$AL$2:$AL$41),"")</f>
        <v/>
      </c>
      <c r="AP23" s="73" t="str">
        <f t="shared" si="10"/>
        <v/>
      </c>
      <c r="AQ23" s="203" t="str">
        <f t="shared" si="11"/>
        <v/>
      </c>
      <c r="AR23" s="58"/>
      <c r="AS23" s="436">
        <f t="shared" si="2"/>
        <v>0</v>
      </c>
      <c r="AT23" s="437"/>
      <c r="AU23" s="177">
        <f t="shared" si="3"/>
        <v>0</v>
      </c>
      <c r="AV23" s="77" t="str">
        <f>IFERROR(AVERAGEIF(Lista_suspensa!$W$2:$W$41,AS23,Lista_suspensa!$AB$2:$AB$41)/100,"")</f>
        <v/>
      </c>
      <c r="AW23" s="78" t="str">
        <f>IFERROR(AVERAGEIF(Lista_suspensa!$W$2:$W$41,AS23,Lista_suspensa!$Y$2:$Y$41),"")</f>
        <v/>
      </c>
      <c r="AX23" s="73" t="str">
        <f t="shared" si="15"/>
        <v/>
      </c>
      <c r="AY23" s="203" t="str">
        <f t="shared" si="12"/>
        <v/>
      </c>
      <c r="AZ23" s="95"/>
      <c r="BA23" s="436">
        <f t="shared" si="4"/>
        <v>0</v>
      </c>
      <c r="BB23" s="437"/>
      <c r="BC23" s="72">
        <f t="shared" si="5"/>
        <v>0</v>
      </c>
      <c r="BD23" s="74" t="str">
        <f>IFERROR(AVERAGEIF(Lista_suspensa!$P$2:$P$41,BA23,Lista_suspensa!$U$2:$U$41)/100,"")</f>
        <v/>
      </c>
      <c r="BE23" s="75" t="str">
        <f>IFERROR(AVERAGEIF(Lista_suspensa!$P$2:$P$41,BA23,Lista_suspensa!$R$2:$R$41),"")</f>
        <v/>
      </c>
      <c r="BF23" s="72" t="str">
        <f t="shared" si="13"/>
        <v/>
      </c>
      <c r="BG23" s="203" t="str">
        <f t="shared" si="14"/>
        <v/>
      </c>
      <c r="BH23" s="59"/>
    </row>
    <row r="24" spans="2:60" ht="15.75" outlineLevel="1" thickBot="1" x14ac:dyDescent="0.3">
      <c r="B24" s="56"/>
      <c r="C24" s="295" t="s">
        <v>34</v>
      </c>
      <c r="D24" s="280">
        <v>15</v>
      </c>
      <c r="E24" s="98">
        <v>321</v>
      </c>
      <c r="F24" s="281">
        <f t="shared" si="17"/>
        <v>10.7</v>
      </c>
      <c r="G24" s="59"/>
      <c r="I24" s="56"/>
      <c r="J24" s="443"/>
      <c r="K24" s="444"/>
      <c r="L24" s="89"/>
      <c r="M24" s="156"/>
      <c r="N24" s="91"/>
      <c r="O24" s="62"/>
      <c r="P24" s="89"/>
      <c r="Q24" s="156"/>
      <c r="R24" s="91"/>
      <c r="S24" s="71"/>
      <c r="T24" s="89"/>
      <c r="U24" s="356"/>
      <c r="V24" s="58"/>
      <c r="W24" s="71"/>
      <c r="X24" s="89"/>
      <c r="Y24" s="356"/>
      <c r="Z24" s="93"/>
      <c r="AB24" s="56"/>
      <c r="AC24" s="436">
        <f t="shared" si="6"/>
        <v>0</v>
      </c>
      <c r="AD24" s="437"/>
      <c r="AE24" s="73">
        <f t="shared" si="7"/>
        <v>0</v>
      </c>
      <c r="AF24" s="74" t="str">
        <f>IFERROR(AVERAGEIF(Lista_suspensa!$AD$2:$AD$41,AC24,Lista_suspensa!$AG$2:$AG$41)/100,"")</f>
        <v/>
      </c>
      <c r="AG24" s="75" t="str">
        <f>IFERROR(AVERAGEIF(Lista_suspensa!$AD$2:$AD$41,AC24,Lista_suspensa!$AF$2:$AF$41),"")</f>
        <v/>
      </c>
      <c r="AH24" s="73" t="str">
        <f t="shared" si="8"/>
        <v/>
      </c>
      <c r="AI24" s="203" t="str">
        <f t="shared" si="9"/>
        <v/>
      </c>
      <c r="AJ24" s="58"/>
      <c r="AK24" s="436">
        <f t="shared" si="0"/>
        <v>0</v>
      </c>
      <c r="AL24" s="437"/>
      <c r="AM24" s="76">
        <f t="shared" si="1"/>
        <v>0</v>
      </c>
      <c r="AN24" s="77" t="str">
        <f>IFERROR(AVERAGEIF(Lista_suspensa!$AJ$2:$AJ$41,AK24,Lista_suspensa!$AM$2:$AM$41)/100,"")</f>
        <v/>
      </c>
      <c r="AO24" s="78" t="str">
        <f>IFERROR(AVERAGEIF(Lista_suspensa!$AJ$2:$AJ$41,AK24,Lista_suspensa!$AL$2:$AL$41),"")</f>
        <v/>
      </c>
      <c r="AP24" s="73" t="str">
        <f t="shared" si="10"/>
        <v/>
      </c>
      <c r="AQ24" s="203" t="str">
        <f t="shared" si="11"/>
        <v/>
      </c>
      <c r="AR24" s="58"/>
      <c r="AS24" s="436">
        <f t="shared" si="2"/>
        <v>0</v>
      </c>
      <c r="AT24" s="437"/>
      <c r="AU24" s="177">
        <f t="shared" si="3"/>
        <v>0</v>
      </c>
      <c r="AV24" s="77" t="str">
        <f>IFERROR(AVERAGEIF(Lista_suspensa!$W$2:$W$41,AS24,Lista_suspensa!$AB$2:$AB$41)/100,"")</f>
        <v/>
      </c>
      <c r="AW24" s="78" t="str">
        <f>IFERROR(AVERAGEIF(Lista_suspensa!$W$2:$W$41,AS24,Lista_suspensa!$Y$2:$Y$41),"")</f>
        <v/>
      </c>
      <c r="AX24" s="73" t="str">
        <f t="shared" si="15"/>
        <v/>
      </c>
      <c r="AY24" s="203" t="str">
        <f t="shared" si="12"/>
        <v/>
      </c>
      <c r="AZ24" s="95"/>
      <c r="BA24" s="436">
        <f t="shared" si="4"/>
        <v>0</v>
      </c>
      <c r="BB24" s="437"/>
      <c r="BC24" s="72">
        <f t="shared" si="5"/>
        <v>0</v>
      </c>
      <c r="BD24" s="74" t="str">
        <f>IFERROR(AVERAGEIF(Lista_suspensa!$P$2:$P$41,BA24,Lista_suspensa!$U$2:$U$41)/100,"")</f>
        <v/>
      </c>
      <c r="BE24" s="75" t="str">
        <f>IFERROR(AVERAGEIF(Lista_suspensa!$P$2:$P$41,BA24,Lista_suspensa!$R$2:$R$41),"")</f>
        <v/>
      </c>
      <c r="BF24" s="72" t="str">
        <f t="shared" si="13"/>
        <v/>
      </c>
      <c r="BG24" s="203" t="str">
        <f t="shared" si="14"/>
        <v/>
      </c>
      <c r="BH24" s="59"/>
    </row>
    <row r="25" spans="2:60" ht="15.75" outlineLevel="1" collapsed="1" thickBot="1" x14ac:dyDescent="0.3">
      <c r="B25" s="56"/>
      <c r="C25" s="329" t="s">
        <v>27</v>
      </c>
      <c r="D25" s="282">
        <f>SUM(D19:D24)</f>
        <v>57</v>
      </c>
      <c r="E25" s="284">
        <f>((E19*D19)+(D20*E20)+(D21*E21)+(D22*E22)+(D23*E23)+(D24*E24))/SUM(D19:D24)</f>
        <v>321</v>
      </c>
      <c r="F25" s="283">
        <f t="shared" si="17"/>
        <v>40.659999999999997</v>
      </c>
      <c r="G25" s="59"/>
      <c r="I25" s="56"/>
      <c r="J25" s="443"/>
      <c r="K25" s="444"/>
      <c r="L25" s="89"/>
      <c r="M25" s="156"/>
      <c r="N25" s="91"/>
      <c r="O25" s="62"/>
      <c r="P25" s="89"/>
      <c r="Q25" s="156"/>
      <c r="R25" s="91"/>
      <c r="S25" s="71"/>
      <c r="T25" s="89"/>
      <c r="U25" s="356"/>
      <c r="V25" s="58"/>
      <c r="W25" s="71"/>
      <c r="X25" s="111"/>
      <c r="Y25" s="357"/>
      <c r="Z25" s="97"/>
      <c r="AB25" s="56"/>
      <c r="AC25" s="436">
        <f t="shared" si="6"/>
        <v>0</v>
      </c>
      <c r="AD25" s="437"/>
      <c r="AE25" s="73">
        <f t="shared" si="7"/>
        <v>0</v>
      </c>
      <c r="AF25" s="74" t="str">
        <f>IFERROR(AVERAGEIF(Lista_suspensa!$AD$2:$AD$41,AC25,Lista_suspensa!$AG$2:$AG$41)/100,"")</f>
        <v/>
      </c>
      <c r="AG25" s="75" t="str">
        <f>IFERROR(AVERAGEIF(Lista_suspensa!$AD$2:$AD$41,AC25,Lista_suspensa!$AF$2:$AF$41),"")</f>
        <v/>
      </c>
      <c r="AH25" s="73" t="str">
        <f t="shared" si="8"/>
        <v/>
      </c>
      <c r="AI25" s="203" t="str">
        <f t="shared" si="9"/>
        <v/>
      </c>
      <c r="AJ25" s="58"/>
      <c r="AK25" s="436">
        <f t="shared" si="0"/>
        <v>0</v>
      </c>
      <c r="AL25" s="437"/>
      <c r="AM25" s="76">
        <f t="shared" si="1"/>
        <v>0</v>
      </c>
      <c r="AN25" s="77" t="str">
        <f>IFERROR(AVERAGEIF(Lista_suspensa!$AJ$2:$AJ$41,AK25,Lista_suspensa!$AM$2:$AM$41)/100,"")</f>
        <v/>
      </c>
      <c r="AO25" s="78" t="str">
        <f>IFERROR(AVERAGEIF(Lista_suspensa!$AJ$2:$AJ$41,AK25,Lista_suspensa!$AL$2:$AL$41),"")</f>
        <v/>
      </c>
      <c r="AP25" s="73" t="str">
        <f t="shared" si="10"/>
        <v/>
      </c>
      <c r="AQ25" s="203" t="str">
        <f t="shared" si="11"/>
        <v/>
      </c>
      <c r="AR25" s="58"/>
      <c r="AS25" s="460">
        <f t="shared" si="2"/>
        <v>0</v>
      </c>
      <c r="AT25" s="461"/>
      <c r="AU25" s="217">
        <f t="shared" si="3"/>
        <v>0</v>
      </c>
      <c r="AV25" s="216" t="str">
        <f>IFERROR(AVERAGEIF(Lista_suspensa!$W$2:$W$41,AS25,Lista_suspensa!$AB$2:$AB$41)/100,"")</f>
        <v/>
      </c>
      <c r="AW25" s="142" t="str">
        <f>IFERROR(AVERAGEIF(Lista_suspensa!$W$2:$W$41,AS25,Lista_suspensa!$Y$2:$Y$41),"")</f>
        <v/>
      </c>
      <c r="AX25" s="204" t="str">
        <f t="shared" si="15"/>
        <v/>
      </c>
      <c r="AY25" s="207" t="str">
        <f t="shared" si="12"/>
        <v/>
      </c>
      <c r="AZ25" s="95"/>
      <c r="BA25" s="460">
        <f t="shared" si="4"/>
        <v>0</v>
      </c>
      <c r="BB25" s="461"/>
      <c r="BC25" s="102">
        <f t="shared" si="5"/>
        <v>0</v>
      </c>
      <c r="BD25" s="205" t="str">
        <f>IFERROR(AVERAGEIF(Lista_suspensa!$P$2:$P$41,BA25,Lista_suspensa!$U$2:$U$41)/100,"")</f>
        <v/>
      </c>
      <c r="BE25" s="206" t="str">
        <f>IFERROR(AVERAGEIF(Lista_suspensa!$P$2:$P$41,BA25,Lista_suspensa!$R$2:$R$41),"")</f>
        <v/>
      </c>
      <c r="BF25" s="102" t="str">
        <f t="shared" si="13"/>
        <v/>
      </c>
      <c r="BG25" s="207" t="str">
        <f t="shared" si="14"/>
        <v/>
      </c>
      <c r="BH25" s="59"/>
    </row>
    <row r="26" spans="2:60" ht="15" customHeight="1" thickBot="1" x14ac:dyDescent="0.3">
      <c r="B26" s="56"/>
      <c r="C26" s="58"/>
      <c r="D26" s="58"/>
      <c r="E26" s="94"/>
      <c r="F26" s="58"/>
      <c r="G26" s="59"/>
      <c r="I26" s="56"/>
      <c r="J26" s="443"/>
      <c r="K26" s="444"/>
      <c r="L26" s="89"/>
      <c r="M26" s="156"/>
      <c r="N26" s="91"/>
      <c r="O26" s="62"/>
      <c r="P26" s="89"/>
      <c r="Q26" s="156"/>
      <c r="R26" s="91"/>
      <c r="S26" s="125" t="s">
        <v>27</v>
      </c>
      <c r="T26" s="378">
        <f>SUM(T5:T25)</f>
        <v>1212</v>
      </c>
      <c r="U26" s="380"/>
      <c r="V26" s="58"/>
      <c r="W26" s="128" t="s">
        <v>27</v>
      </c>
      <c r="X26" s="123">
        <f>SUM(X5:X25)</f>
        <v>33</v>
      </c>
      <c r="Y26" s="124"/>
      <c r="Z26" s="97"/>
      <c r="AB26" s="56"/>
      <c r="AC26" s="436">
        <f t="shared" si="6"/>
        <v>0</v>
      </c>
      <c r="AD26" s="437"/>
      <c r="AE26" s="73">
        <f t="shared" si="7"/>
        <v>0</v>
      </c>
      <c r="AF26" s="74" t="str">
        <f>IFERROR(AVERAGEIF(Lista_suspensa!$AD$2:$AD$41,AC26,Lista_suspensa!$AG$2:$AG$41)/100,"")</f>
        <v/>
      </c>
      <c r="AG26" s="75" t="str">
        <f>IFERROR(AVERAGEIF(Lista_suspensa!$AD$2:$AD$41,AC26,Lista_suspensa!$AF$2:$AF$41),"")</f>
        <v/>
      </c>
      <c r="AH26" s="73" t="str">
        <f t="shared" si="8"/>
        <v/>
      </c>
      <c r="AI26" s="203" t="str">
        <f t="shared" si="9"/>
        <v/>
      </c>
      <c r="AJ26" s="58"/>
      <c r="AK26" s="436">
        <f t="shared" si="0"/>
        <v>0</v>
      </c>
      <c r="AL26" s="437"/>
      <c r="AM26" s="76">
        <f t="shared" si="1"/>
        <v>0</v>
      </c>
      <c r="AN26" s="77" t="str">
        <f>IFERROR(AVERAGEIF(Lista_suspensa!$AJ$2:$AJ$41,AK26,Lista_suspensa!$AM$2:$AM$41)/100,"")</f>
        <v/>
      </c>
      <c r="AO26" s="78" t="str">
        <f>IFERROR(AVERAGEIF(Lista_suspensa!$AJ$2:$AJ$41,AK26,Lista_suspensa!$AL$2:$AL$41),"")</f>
        <v/>
      </c>
      <c r="AP26" s="73" t="str">
        <f t="shared" si="10"/>
        <v/>
      </c>
      <c r="AQ26" s="203" t="str">
        <f t="shared" si="11"/>
        <v/>
      </c>
      <c r="AR26" s="58"/>
      <c r="AS26" s="458" t="s">
        <v>27</v>
      </c>
      <c r="AT26" s="459"/>
      <c r="AU26" s="218">
        <f>SUM(AU5:AU25)</f>
        <v>606</v>
      </c>
      <c r="AV26" s="58"/>
      <c r="AW26" s="58"/>
      <c r="AX26" s="219">
        <f>SUM(AX5:AX25)</f>
        <v>72.72</v>
      </c>
      <c r="AY26" s="220">
        <f>SUM(AY5:AY25)</f>
        <v>113.928</v>
      </c>
      <c r="AZ26" s="95"/>
      <c r="BA26" s="458" t="s">
        <v>27</v>
      </c>
      <c r="BB26" s="459"/>
      <c r="BC26" s="221">
        <f>SUM(BC5:BC25)</f>
        <v>16.5</v>
      </c>
      <c r="BD26" s="58"/>
      <c r="BE26" s="58"/>
      <c r="BF26" s="222">
        <f>SUM(BF5:BF25)</f>
        <v>2.25</v>
      </c>
      <c r="BG26" s="208">
        <f>SUM(BG5:BG25)</f>
        <v>2.3824999999999998</v>
      </c>
      <c r="BH26" s="59"/>
    </row>
    <row r="27" spans="2:60" ht="15" customHeight="1" thickBot="1" x14ac:dyDescent="0.3">
      <c r="B27" s="56"/>
      <c r="C27" s="178" t="s">
        <v>11</v>
      </c>
      <c r="D27" s="236" t="s">
        <v>28</v>
      </c>
      <c r="E27" s="179" t="s">
        <v>12</v>
      </c>
      <c r="F27" s="236" t="s">
        <v>13</v>
      </c>
      <c r="G27" s="59"/>
      <c r="I27" s="56"/>
      <c r="J27" s="443"/>
      <c r="K27" s="444"/>
      <c r="L27" s="89"/>
      <c r="M27" s="156"/>
      <c r="N27" s="91"/>
      <c r="O27" s="62"/>
      <c r="P27" s="89"/>
      <c r="Q27" s="156"/>
      <c r="R27" s="91"/>
      <c r="S27" s="58"/>
      <c r="T27" s="58"/>
      <c r="U27" s="58"/>
      <c r="V27" s="58"/>
      <c r="W27" s="58"/>
      <c r="X27" s="58"/>
      <c r="Y27" s="58"/>
      <c r="Z27" s="97"/>
      <c r="AB27" s="56"/>
      <c r="AC27" s="436">
        <f t="shared" ref="AC27:AC39" si="18">J27</f>
        <v>0</v>
      </c>
      <c r="AD27" s="437"/>
      <c r="AE27" s="73">
        <f t="shared" ref="AE27:AE39" si="19">L27/2</f>
        <v>0</v>
      </c>
      <c r="AF27" s="74" t="str">
        <f>IFERROR(AVERAGEIF(Lista_suspensa!$AD$2:$AD$41,AC27,Lista_suspensa!$AG$2:$AG$41)/100,"")</f>
        <v/>
      </c>
      <c r="AG27" s="75" t="str">
        <f>IFERROR(AVERAGEIF(Lista_suspensa!$AD$2:$AD$41,AC27,Lista_suspensa!$AF$2:$AF$41),"")</f>
        <v/>
      </c>
      <c r="AH27" s="73" t="str">
        <f t="shared" si="8"/>
        <v/>
      </c>
      <c r="AI27" s="203" t="str">
        <f t="shared" si="9"/>
        <v/>
      </c>
      <c r="AJ27" s="58"/>
      <c r="AK27" s="436">
        <f t="shared" si="0"/>
        <v>0</v>
      </c>
      <c r="AL27" s="437"/>
      <c r="AM27" s="76">
        <f t="shared" si="1"/>
        <v>0</v>
      </c>
      <c r="AN27" s="77" t="str">
        <f>IFERROR(AVERAGEIF(Lista_suspensa!$AJ$2:$AJ$41,AK27,Lista_suspensa!$AM$2:$AM$41)/100,"")</f>
        <v/>
      </c>
      <c r="AO27" s="78" t="str">
        <f>IFERROR(AVERAGEIF(Lista_suspensa!$AJ$2:$AJ$41,AK27,Lista_suspensa!$AL$2:$AL$41),"")</f>
        <v/>
      </c>
      <c r="AP27" s="73" t="str">
        <f t="shared" si="10"/>
        <v/>
      </c>
      <c r="AQ27" s="203" t="str">
        <f t="shared" si="11"/>
        <v/>
      </c>
      <c r="AR27" s="58"/>
      <c r="AS27" s="58"/>
      <c r="AT27" s="58"/>
      <c r="AU27" s="58"/>
      <c r="AV27" s="58"/>
      <c r="AW27" s="58"/>
      <c r="AX27" s="58"/>
      <c r="AY27" s="58"/>
      <c r="AZ27" s="95"/>
      <c r="BA27" s="95"/>
      <c r="BB27" s="95"/>
      <c r="BC27" s="95"/>
      <c r="BD27" s="95"/>
      <c r="BE27" s="58"/>
      <c r="BF27" s="58"/>
      <c r="BG27" s="58"/>
      <c r="BH27" s="59"/>
    </row>
    <row r="28" spans="2:60" ht="15" customHeight="1" outlineLevel="1" x14ac:dyDescent="0.25">
      <c r="B28" s="56"/>
      <c r="C28" s="293" t="s">
        <v>29</v>
      </c>
      <c r="D28" s="98"/>
      <c r="E28" s="98">
        <v>325</v>
      </c>
      <c r="F28" s="121">
        <f t="shared" ref="F28:F34" si="20">(D28*E28)/450</f>
        <v>0</v>
      </c>
      <c r="G28" s="59"/>
      <c r="I28" s="56"/>
      <c r="J28" s="443"/>
      <c r="K28" s="444"/>
      <c r="L28" s="89"/>
      <c r="M28" s="156"/>
      <c r="N28" s="91"/>
      <c r="O28" s="62"/>
      <c r="P28" s="89"/>
      <c r="Q28" s="156"/>
      <c r="R28" s="91"/>
      <c r="S28" s="325" t="s">
        <v>375</v>
      </c>
      <c r="T28" s="326" t="s">
        <v>317</v>
      </c>
      <c r="U28" s="326" t="s">
        <v>377</v>
      </c>
      <c r="V28" s="326" t="s">
        <v>313</v>
      </c>
      <c r="W28" s="327" t="s">
        <v>430</v>
      </c>
      <c r="X28" s="328" t="s">
        <v>27</v>
      </c>
      <c r="Y28" s="64"/>
      <c r="Z28" s="61"/>
      <c r="AB28" s="56"/>
      <c r="AC28" s="436">
        <f t="shared" si="18"/>
        <v>0</v>
      </c>
      <c r="AD28" s="437"/>
      <c r="AE28" s="73">
        <f t="shared" si="19"/>
        <v>0</v>
      </c>
      <c r="AF28" s="74" t="str">
        <f>IFERROR(AVERAGEIF(Lista_suspensa!$AD$2:$AD$41,AC28,Lista_suspensa!$AG$2:$AG$41)/100,"")</f>
        <v/>
      </c>
      <c r="AG28" s="75" t="str">
        <f>IFERROR(AVERAGEIF(Lista_suspensa!$AD$2:$AD$41,AC28,Lista_suspensa!$AF$2:$AF$41),"")</f>
        <v/>
      </c>
      <c r="AH28" s="73" t="str">
        <f t="shared" si="8"/>
        <v/>
      </c>
      <c r="AI28" s="203" t="str">
        <f t="shared" si="9"/>
        <v/>
      </c>
      <c r="AJ28" s="58"/>
      <c r="AK28" s="436">
        <f t="shared" si="0"/>
        <v>0</v>
      </c>
      <c r="AL28" s="437"/>
      <c r="AM28" s="76">
        <f t="shared" si="1"/>
        <v>0</v>
      </c>
      <c r="AN28" s="77" t="str">
        <f>IFERROR(AVERAGEIF(Lista_suspensa!$AJ$2:$AJ$41,AK28,Lista_suspensa!$AM$2:$AM$41)/100,"")</f>
        <v/>
      </c>
      <c r="AO28" s="78" t="str">
        <f>IFERROR(AVERAGEIF(Lista_suspensa!$AJ$2:$AJ$41,AK28,Lista_suspensa!$AL$2:$AL$41),"")</f>
        <v/>
      </c>
      <c r="AP28" s="73" t="str">
        <f t="shared" si="10"/>
        <v/>
      </c>
      <c r="AQ28" s="203" t="str">
        <f t="shared" si="11"/>
        <v/>
      </c>
      <c r="AR28" s="58"/>
      <c r="AS28" s="464" t="s">
        <v>392</v>
      </c>
      <c r="AT28" s="465"/>
      <c r="AU28" s="84" t="s">
        <v>225</v>
      </c>
      <c r="AV28" s="84" t="s">
        <v>328</v>
      </c>
      <c r="AW28" s="84" t="s">
        <v>226</v>
      </c>
      <c r="AX28" s="84" t="s">
        <v>306</v>
      </c>
      <c r="AY28" s="85" t="s">
        <v>307</v>
      </c>
      <c r="AZ28" s="95"/>
      <c r="BA28" s="95"/>
      <c r="BB28" s="95"/>
      <c r="BC28" s="95"/>
      <c r="BD28" s="95"/>
      <c r="BE28" s="58"/>
      <c r="BF28" s="58"/>
      <c r="BG28" s="58"/>
      <c r="BH28" s="59"/>
    </row>
    <row r="29" spans="2:60" ht="15" customHeight="1" outlineLevel="1" x14ac:dyDescent="0.25">
      <c r="B29" s="56"/>
      <c r="C29" s="294" t="s">
        <v>35</v>
      </c>
      <c r="D29" s="79"/>
      <c r="E29" s="79"/>
      <c r="F29" s="120">
        <f t="shared" si="20"/>
        <v>0</v>
      </c>
      <c r="G29" s="59"/>
      <c r="I29" s="56"/>
      <c r="J29" s="443"/>
      <c r="K29" s="444"/>
      <c r="L29" s="89"/>
      <c r="M29" s="156"/>
      <c r="N29" s="91"/>
      <c r="O29" s="62"/>
      <c r="P29" s="89"/>
      <c r="Q29" s="156"/>
      <c r="R29" s="91"/>
      <c r="S29" s="99" t="s">
        <v>323</v>
      </c>
      <c r="T29" s="72">
        <v>2</v>
      </c>
      <c r="U29" s="72" t="s">
        <v>380</v>
      </c>
      <c r="V29" s="100">
        <v>0.2</v>
      </c>
      <c r="W29" s="90">
        <v>5000</v>
      </c>
      <c r="X29" s="126">
        <f>W29*T29*V29</f>
        <v>2000</v>
      </c>
      <c r="Y29" s="95"/>
      <c r="Z29" s="97"/>
      <c r="AB29" s="56"/>
      <c r="AC29" s="436">
        <f t="shared" si="18"/>
        <v>0</v>
      </c>
      <c r="AD29" s="437"/>
      <c r="AE29" s="73">
        <f t="shared" si="19"/>
        <v>0</v>
      </c>
      <c r="AF29" s="74" t="str">
        <f>IFERROR(AVERAGEIF(Lista_suspensa!$AD$2:$AD$41,AC29,Lista_suspensa!$AG$2:$AG$41)/100,"")</f>
        <v/>
      </c>
      <c r="AG29" s="75" t="str">
        <f>IFERROR(AVERAGEIF(Lista_suspensa!$AD$2:$AD$41,AC29,Lista_suspensa!$AF$2:$AF$41),"")</f>
        <v/>
      </c>
      <c r="AH29" s="73" t="str">
        <f t="shared" si="8"/>
        <v/>
      </c>
      <c r="AI29" s="203" t="str">
        <f t="shared" si="9"/>
        <v/>
      </c>
      <c r="AJ29" s="58"/>
      <c r="AK29" s="436">
        <f t="shared" si="0"/>
        <v>0</v>
      </c>
      <c r="AL29" s="437"/>
      <c r="AM29" s="76">
        <f t="shared" si="1"/>
        <v>0</v>
      </c>
      <c r="AN29" s="77" t="str">
        <f>IFERROR(AVERAGEIF(Lista_suspensa!$AJ$2:$AJ$41,AK29,Lista_suspensa!$AM$2:$AM$41)/100,"")</f>
        <v/>
      </c>
      <c r="AO29" s="78" t="str">
        <f>IFERROR(AVERAGEIF(Lista_suspensa!$AJ$2:$AJ$41,AK29,Lista_suspensa!$AL$2:$AL$41),"")</f>
        <v/>
      </c>
      <c r="AP29" s="73" t="str">
        <f t="shared" si="10"/>
        <v/>
      </c>
      <c r="AQ29" s="203" t="str">
        <f t="shared" si="11"/>
        <v/>
      </c>
      <c r="AR29" s="58"/>
      <c r="AS29" s="436" t="str">
        <f>S29</f>
        <v>Carro</v>
      </c>
      <c r="AT29" s="437"/>
      <c r="AU29" s="230">
        <f>W29/2</f>
        <v>2500</v>
      </c>
      <c r="AV29" s="74">
        <v>0.2</v>
      </c>
      <c r="AW29" s="72">
        <v>10</v>
      </c>
      <c r="AX29" s="73">
        <f>AV29*X29</f>
        <v>400</v>
      </c>
      <c r="AY29" s="226">
        <f>IF(AS29=0,"",(X29-AX29)/AW29)</f>
        <v>160</v>
      </c>
      <c r="AZ29" s="95"/>
      <c r="BA29" s="95"/>
      <c r="BB29" s="95"/>
      <c r="BC29" s="95"/>
      <c r="BD29" s="95"/>
      <c r="BE29" s="58"/>
      <c r="BF29" s="58"/>
      <c r="BG29" s="58"/>
      <c r="BH29" s="59"/>
    </row>
    <row r="30" spans="2:60" ht="15" outlineLevel="1" x14ac:dyDescent="0.25">
      <c r="B30" s="56"/>
      <c r="C30" s="294" t="s">
        <v>31</v>
      </c>
      <c r="D30" s="79"/>
      <c r="E30" s="79"/>
      <c r="F30" s="120">
        <f t="shared" si="20"/>
        <v>0</v>
      </c>
      <c r="G30" s="59"/>
      <c r="I30" s="56"/>
      <c r="J30" s="443"/>
      <c r="K30" s="444"/>
      <c r="L30" s="89"/>
      <c r="M30" s="156"/>
      <c r="N30" s="91"/>
      <c r="O30" s="62"/>
      <c r="P30" s="89"/>
      <c r="Q30" s="156"/>
      <c r="R30" s="91"/>
      <c r="S30" s="99" t="s">
        <v>322</v>
      </c>
      <c r="T30" s="72"/>
      <c r="U30" s="72"/>
      <c r="V30" s="100"/>
      <c r="W30" s="90">
        <v>0</v>
      </c>
      <c r="X30" s="126">
        <f>W30*T30</f>
        <v>0</v>
      </c>
      <c r="Y30" s="95"/>
      <c r="Z30" s="97"/>
      <c r="AB30" s="56"/>
      <c r="AC30" s="436">
        <f t="shared" si="18"/>
        <v>0</v>
      </c>
      <c r="AD30" s="437"/>
      <c r="AE30" s="73">
        <f t="shared" si="19"/>
        <v>0</v>
      </c>
      <c r="AF30" s="74" t="str">
        <f>IFERROR(AVERAGEIF(Lista_suspensa!$AD$2:$AD$41,AC30,Lista_suspensa!$AG$2:$AG$41)/100,"")</f>
        <v/>
      </c>
      <c r="AG30" s="75" t="str">
        <f>IFERROR(AVERAGEIF(Lista_suspensa!$AD$2:$AD$41,AC30,Lista_suspensa!$AF$2:$AF$41),"")</f>
        <v/>
      </c>
      <c r="AH30" s="73" t="str">
        <f t="shared" si="8"/>
        <v/>
      </c>
      <c r="AI30" s="203" t="str">
        <f t="shared" si="9"/>
        <v/>
      </c>
      <c r="AJ30" s="58"/>
      <c r="AK30" s="436">
        <f t="shared" si="0"/>
        <v>0</v>
      </c>
      <c r="AL30" s="437"/>
      <c r="AM30" s="76">
        <f t="shared" si="1"/>
        <v>0</v>
      </c>
      <c r="AN30" s="77" t="str">
        <f>IFERROR(AVERAGEIF(Lista_suspensa!$AJ$2:$AJ$41,AK30,Lista_suspensa!$AM$2:$AM$41)/100,"")</f>
        <v/>
      </c>
      <c r="AO30" s="78" t="str">
        <f>IFERROR(AVERAGEIF(Lista_suspensa!$AJ$2:$AJ$41,AK30,Lista_suspensa!$AL$2:$AL$41),"")</f>
        <v/>
      </c>
      <c r="AP30" s="73" t="str">
        <f t="shared" si="10"/>
        <v/>
      </c>
      <c r="AQ30" s="203" t="str">
        <f t="shared" si="11"/>
        <v/>
      </c>
      <c r="AR30" s="58"/>
      <c r="AS30" s="436" t="str">
        <f>S30</f>
        <v>Moto</v>
      </c>
      <c r="AT30" s="437"/>
      <c r="AU30" s="230">
        <f>W30/2</f>
        <v>0</v>
      </c>
      <c r="AV30" s="74">
        <v>0.2</v>
      </c>
      <c r="AW30" s="72">
        <v>10</v>
      </c>
      <c r="AX30" s="73">
        <f>AV30*X30</f>
        <v>0</v>
      </c>
      <c r="AY30" s="226">
        <f>IF(AS30=0,"",(X30-AX30)/AW30)</f>
        <v>0</v>
      </c>
      <c r="AZ30" s="95"/>
      <c r="BA30" s="95"/>
      <c r="BB30" s="95"/>
      <c r="BC30" s="95"/>
      <c r="BD30" s="95"/>
      <c r="BE30" s="58"/>
      <c r="BF30" s="58"/>
      <c r="BG30" s="58"/>
      <c r="BH30" s="59"/>
    </row>
    <row r="31" spans="2:60" ht="15" outlineLevel="1" x14ac:dyDescent="0.25">
      <c r="B31" s="56"/>
      <c r="C31" s="294" t="s">
        <v>32</v>
      </c>
      <c r="D31" s="79">
        <v>11</v>
      </c>
      <c r="E31" s="79">
        <v>1</v>
      </c>
      <c r="F31" s="120">
        <f t="shared" si="20"/>
        <v>2.4444444444444446E-2</v>
      </c>
      <c r="G31" s="59"/>
      <c r="I31" s="56"/>
      <c r="J31" s="443"/>
      <c r="K31" s="444"/>
      <c r="L31" s="89"/>
      <c r="M31" s="156"/>
      <c r="N31" s="91"/>
      <c r="O31" s="62"/>
      <c r="P31" s="89"/>
      <c r="Q31" s="156"/>
      <c r="R31" s="91"/>
      <c r="S31" s="99" t="s">
        <v>376</v>
      </c>
      <c r="T31" s="72"/>
      <c r="U31" s="72"/>
      <c r="V31" s="100"/>
      <c r="W31" s="90">
        <v>0</v>
      </c>
      <c r="X31" s="126">
        <f>W31*T31</f>
        <v>0</v>
      </c>
      <c r="Y31" s="95"/>
      <c r="Z31" s="97"/>
      <c r="AB31" s="56"/>
      <c r="AC31" s="436">
        <f t="shared" si="18"/>
        <v>0</v>
      </c>
      <c r="AD31" s="437"/>
      <c r="AE31" s="73">
        <f t="shared" si="19"/>
        <v>0</v>
      </c>
      <c r="AF31" s="74" t="str">
        <f>IFERROR(AVERAGEIF(Lista_suspensa!$AD$2:$AD$41,AC31,Lista_suspensa!$AG$2:$AG$41)/100,"")</f>
        <v/>
      </c>
      <c r="AG31" s="75" t="str">
        <f>IFERROR(AVERAGEIF(Lista_suspensa!$AD$2:$AD$41,AC31,Lista_suspensa!$AF$2:$AF$41),"")</f>
        <v/>
      </c>
      <c r="AH31" s="73" t="str">
        <f t="shared" si="8"/>
        <v/>
      </c>
      <c r="AI31" s="203" t="str">
        <f t="shared" si="9"/>
        <v/>
      </c>
      <c r="AJ31" s="58"/>
      <c r="AK31" s="436">
        <f t="shared" si="0"/>
        <v>0</v>
      </c>
      <c r="AL31" s="437"/>
      <c r="AM31" s="76">
        <f t="shared" si="1"/>
        <v>0</v>
      </c>
      <c r="AN31" s="77" t="str">
        <f>IFERROR(AVERAGEIF(Lista_suspensa!$AJ$2:$AJ$41,AK31,Lista_suspensa!$AM$2:$AM$41)/100,"")</f>
        <v/>
      </c>
      <c r="AO31" s="78" t="str">
        <f>IFERROR(AVERAGEIF(Lista_suspensa!$AJ$2:$AJ$41,AK31,Lista_suspensa!$AL$2:$AL$41),"")</f>
        <v/>
      </c>
      <c r="AP31" s="73" t="str">
        <f t="shared" si="10"/>
        <v/>
      </c>
      <c r="AQ31" s="203" t="str">
        <f t="shared" si="11"/>
        <v/>
      </c>
      <c r="AR31" s="58"/>
      <c r="AS31" s="436" t="str">
        <f>S31</f>
        <v>Caminhonete</v>
      </c>
      <c r="AT31" s="437"/>
      <c r="AU31" s="230">
        <f>W31/2</f>
        <v>0</v>
      </c>
      <c r="AV31" s="74">
        <v>0.2</v>
      </c>
      <c r="AW31" s="72">
        <v>10</v>
      </c>
      <c r="AX31" s="73">
        <f>AV31*X31</f>
        <v>0</v>
      </c>
      <c r="AY31" s="226">
        <f>IF(AS31=0,"",(X31-AX31)/AW31)</f>
        <v>0</v>
      </c>
      <c r="AZ31" s="95"/>
      <c r="BA31" s="95"/>
      <c r="BB31" s="95"/>
      <c r="BC31" s="95"/>
      <c r="BD31" s="95"/>
      <c r="BE31" s="58"/>
      <c r="BF31" s="58"/>
      <c r="BG31" s="58"/>
      <c r="BH31" s="59"/>
    </row>
    <row r="32" spans="2:60" ht="15.75" outlineLevel="1" thickBot="1" x14ac:dyDescent="0.3">
      <c r="B32" s="56"/>
      <c r="C32" s="294" t="s">
        <v>36</v>
      </c>
      <c r="D32" s="79">
        <v>12</v>
      </c>
      <c r="E32" s="79">
        <v>245</v>
      </c>
      <c r="F32" s="120">
        <f t="shared" si="20"/>
        <v>6.5333333333333332</v>
      </c>
      <c r="G32" s="59"/>
      <c r="I32" s="56"/>
      <c r="J32" s="443"/>
      <c r="K32" s="444"/>
      <c r="L32" s="89"/>
      <c r="M32" s="156"/>
      <c r="N32" s="91"/>
      <c r="O32" s="62"/>
      <c r="P32" s="89"/>
      <c r="Q32" s="156"/>
      <c r="R32" s="91"/>
      <c r="S32" s="101" t="s">
        <v>402</v>
      </c>
      <c r="T32" s="102">
        <v>1</v>
      </c>
      <c r="U32" s="102" t="s">
        <v>381</v>
      </c>
      <c r="V32" s="103">
        <v>1</v>
      </c>
      <c r="W32" s="90">
        <v>400</v>
      </c>
      <c r="X32" s="127">
        <f>W32*T32</f>
        <v>400</v>
      </c>
      <c r="Y32" s="95"/>
      <c r="Z32" s="97"/>
      <c r="AB32" s="56"/>
      <c r="AC32" s="436">
        <f t="shared" si="18"/>
        <v>0</v>
      </c>
      <c r="AD32" s="437"/>
      <c r="AE32" s="73">
        <f t="shared" si="19"/>
        <v>0</v>
      </c>
      <c r="AF32" s="74" t="str">
        <f>IFERROR(AVERAGEIF(Lista_suspensa!$AD$2:$AD$41,AC32,Lista_suspensa!$AG$2:$AG$41)/100,"")</f>
        <v/>
      </c>
      <c r="AG32" s="75" t="str">
        <f>IFERROR(AVERAGEIF(Lista_suspensa!$AD$2:$AD$41,AC32,Lista_suspensa!$AF$2:$AF$41),"")</f>
        <v/>
      </c>
      <c r="AH32" s="73" t="str">
        <f t="shared" si="8"/>
        <v/>
      </c>
      <c r="AI32" s="203" t="str">
        <f t="shared" si="9"/>
        <v/>
      </c>
      <c r="AJ32" s="58"/>
      <c r="AK32" s="436">
        <f t="shared" si="0"/>
        <v>0</v>
      </c>
      <c r="AL32" s="437"/>
      <c r="AM32" s="76">
        <f t="shared" si="1"/>
        <v>0</v>
      </c>
      <c r="AN32" s="77" t="str">
        <f>IFERROR(AVERAGEIF(Lista_suspensa!$AJ$2:$AJ$41,AK32,Lista_suspensa!$AM$2:$AM$41)/100,"")</f>
        <v/>
      </c>
      <c r="AO32" s="78" t="str">
        <f>IFERROR(AVERAGEIF(Lista_suspensa!$AJ$2:$AJ$41,AK32,Lista_suspensa!$AL$2:$AL$41),"")</f>
        <v/>
      </c>
      <c r="AP32" s="73" t="str">
        <f t="shared" si="10"/>
        <v/>
      </c>
      <c r="AQ32" s="203" t="str">
        <f t="shared" si="11"/>
        <v/>
      </c>
      <c r="AR32" s="58"/>
      <c r="AS32" s="460" t="str">
        <f>S32</f>
        <v>Outros</v>
      </c>
      <c r="AT32" s="461"/>
      <c r="AU32" s="231">
        <f>W32/2</f>
        <v>200</v>
      </c>
      <c r="AV32" s="205">
        <v>0.2</v>
      </c>
      <c r="AW32" s="102">
        <v>10</v>
      </c>
      <c r="AX32" s="204">
        <f>AV32*X32</f>
        <v>80</v>
      </c>
      <c r="AY32" s="227">
        <f>IF(AS32=0,"",(X32-AX32)/AW32)</f>
        <v>32</v>
      </c>
      <c r="AZ32" s="95"/>
      <c r="BA32" s="95"/>
      <c r="BB32" s="95"/>
      <c r="BC32" s="95"/>
      <c r="BD32" s="95"/>
      <c r="BE32" s="58"/>
      <c r="BF32" s="58"/>
      <c r="BG32" s="58"/>
      <c r="BH32" s="59"/>
    </row>
    <row r="33" spans="2:60" ht="15.75" outlineLevel="1" thickBot="1" x14ac:dyDescent="0.3">
      <c r="B33" s="56"/>
      <c r="C33" s="295" t="s">
        <v>37</v>
      </c>
      <c r="D33" s="280">
        <v>15</v>
      </c>
      <c r="E33" s="280">
        <v>254</v>
      </c>
      <c r="F33" s="281">
        <f t="shared" si="20"/>
        <v>8.4666666666666668</v>
      </c>
      <c r="G33" s="59"/>
      <c r="I33" s="56"/>
      <c r="J33" s="443"/>
      <c r="K33" s="444"/>
      <c r="L33" s="89"/>
      <c r="M33" s="156"/>
      <c r="N33" s="91"/>
      <c r="O33" s="62"/>
      <c r="P33" s="89"/>
      <c r="Q33" s="156"/>
      <c r="R33" s="91"/>
      <c r="S33" s="104"/>
      <c r="T33" s="105"/>
      <c r="U33" s="105"/>
      <c r="V33" s="105"/>
      <c r="W33" s="104"/>
      <c r="X33" s="91"/>
      <c r="Y33" s="91"/>
      <c r="Z33" s="59"/>
      <c r="AB33" s="56"/>
      <c r="AC33" s="436">
        <f t="shared" si="18"/>
        <v>0</v>
      </c>
      <c r="AD33" s="437"/>
      <c r="AE33" s="73">
        <f t="shared" si="19"/>
        <v>0</v>
      </c>
      <c r="AF33" s="74" t="str">
        <f>IFERROR(AVERAGEIF(Lista_suspensa!$AD$2:$AD$41,AC33,Lista_suspensa!$AG$2:$AG$41)/100,"")</f>
        <v/>
      </c>
      <c r="AG33" s="75" t="str">
        <f>IFERROR(AVERAGEIF(Lista_suspensa!$AD$2:$AD$41,AC33,Lista_suspensa!$AF$2:$AF$41),"")</f>
        <v/>
      </c>
      <c r="AH33" s="73" t="str">
        <f t="shared" si="8"/>
        <v/>
      </c>
      <c r="AI33" s="203" t="str">
        <f t="shared" si="9"/>
        <v/>
      </c>
      <c r="AJ33" s="58"/>
      <c r="AK33" s="436">
        <f t="shared" si="0"/>
        <v>0</v>
      </c>
      <c r="AL33" s="437"/>
      <c r="AM33" s="76">
        <f t="shared" si="1"/>
        <v>0</v>
      </c>
      <c r="AN33" s="77" t="str">
        <f>IFERROR(AVERAGEIF(Lista_suspensa!$AJ$2:$AJ$41,AK33,Lista_suspensa!$AM$2:$AM$41)/100,"")</f>
        <v/>
      </c>
      <c r="AO33" s="78" t="str">
        <f>IFERROR(AVERAGEIF(Lista_suspensa!$AJ$2:$AJ$41,AK33,Lista_suspensa!$AL$2:$AL$41),"")</f>
        <v/>
      </c>
      <c r="AP33" s="73" t="str">
        <f t="shared" si="10"/>
        <v/>
      </c>
      <c r="AQ33" s="203" t="str">
        <f t="shared" si="11"/>
        <v/>
      </c>
      <c r="AR33" s="58"/>
      <c r="AS33" s="458" t="s">
        <v>27</v>
      </c>
      <c r="AT33" s="459"/>
      <c r="AU33" s="229">
        <f>SUM(AU29:AU32)</f>
        <v>2700</v>
      </c>
      <c r="AV33" s="58"/>
      <c r="AW33" s="58"/>
      <c r="AX33" s="219">
        <f>SUM(AX29:AX32)</f>
        <v>480</v>
      </c>
      <c r="AY33" s="229">
        <f>SUM(AY29:AY32)</f>
        <v>192</v>
      </c>
      <c r="AZ33" s="95"/>
      <c r="BA33" s="95"/>
      <c r="BB33" s="95"/>
      <c r="BC33" s="95"/>
      <c r="BD33" s="95"/>
      <c r="BE33" s="58"/>
      <c r="BF33" s="58"/>
      <c r="BG33" s="58"/>
      <c r="BH33" s="59"/>
    </row>
    <row r="34" spans="2:60" ht="15.75" outlineLevel="1" thickBot="1" x14ac:dyDescent="0.3">
      <c r="B34" s="56"/>
      <c r="C34" s="329" t="s">
        <v>27</v>
      </c>
      <c r="D34" s="282">
        <f>SUM(D28:D33)</f>
        <v>38</v>
      </c>
      <c r="E34" s="284">
        <f>((E28*D28)+(D29*E29)+(D30*E30)+(D31*E31)+(D32*E32)+(D33*E33))/SUM(D28:D33)</f>
        <v>177.92105263157896</v>
      </c>
      <c r="F34" s="283">
        <f t="shared" si="20"/>
        <v>15.024444444444445</v>
      </c>
      <c r="G34" s="59"/>
      <c r="I34" s="56"/>
      <c r="J34" s="443"/>
      <c r="K34" s="444"/>
      <c r="L34" s="89"/>
      <c r="M34" s="156"/>
      <c r="N34" s="91"/>
      <c r="O34" s="62"/>
      <c r="P34" s="89"/>
      <c r="Q34" s="156"/>
      <c r="R34" s="91"/>
      <c r="S34" s="419" t="s">
        <v>479</v>
      </c>
      <c r="T34" s="420"/>
      <c r="U34" s="420"/>
      <c r="V34" s="420"/>
      <c r="W34" s="421"/>
      <c r="X34" s="264">
        <v>12222</v>
      </c>
      <c r="Y34" s="58"/>
      <c r="Z34" s="97"/>
      <c r="AB34" s="56"/>
      <c r="AC34" s="436">
        <f t="shared" si="18"/>
        <v>0</v>
      </c>
      <c r="AD34" s="437"/>
      <c r="AE34" s="73">
        <f t="shared" si="19"/>
        <v>0</v>
      </c>
      <c r="AF34" s="74" t="str">
        <f>IFERROR(AVERAGEIF(Lista_suspensa!$AD$2:$AD$41,AC34,Lista_suspensa!$AG$2:$AG$41)/100,"")</f>
        <v/>
      </c>
      <c r="AG34" s="75" t="str">
        <f>IFERROR(AVERAGEIF(Lista_suspensa!$AD$2:$AD$41,AC34,Lista_suspensa!$AF$2:$AF$41),"")</f>
        <v/>
      </c>
      <c r="AH34" s="73" t="str">
        <f t="shared" si="8"/>
        <v/>
      </c>
      <c r="AI34" s="203" t="str">
        <f t="shared" si="9"/>
        <v/>
      </c>
      <c r="AJ34" s="58"/>
      <c r="AK34" s="436">
        <f t="shared" si="0"/>
        <v>0</v>
      </c>
      <c r="AL34" s="437"/>
      <c r="AM34" s="76">
        <f t="shared" si="1"/>
        <v>0</v>
      </c>
      <c r="AN34" s="77" t="str">
        <f>IFERROR(AVERAGEIF(Lista_suspensa!$AJ$2:$AJ$41,AK34,Lista_suspensa!$AM$2:$AM$41)/100,"")</f>
        <v/>
      </c>
      <c r="AO34" s="78" t="str">
        <f>IFERROR(AVERAGEIF(Lista_suspensa!$AJ$2:$AJ$41,AK34,Lista_suspensa!$AL$2:$AL$41),"")</f>
        <v/>
      </c>
      <c r="AP34" s="73" t="str">
        <f t="shared" si="10"/>
        <v/>
      </c>
      <c r="AQ34" s="203" t="str">
        <f t="shared" si="11"/>
        <v/>
      </c>
      <c r="AR34" s="58"/>
      <c r="AS34" s="466"/>
      <c r="AT34" s="466"/>
      <c r="AU34" s="58"/>
      <c r="AV34" s="107"/>
      <c r="AW34" s="58"/>
      <c r="AX34" s="58"/>
      <c r="AY34" s="58"/>
      <c r="AZ34" s="95"/>
      <c r="BA34" s="95"/>
      <c r="BB34" s="95"/>
      <c r="BC34" s="95"/>
      <c r="BD34" s="95"/>
      <c r="BE34" s="58"/>
      <c r="BF34" s="58"/>
      <c r="BG34" s="58"/>
      <c r="BH34" s="59"/>
    </row>
    <row r="35" spans="2:60" ht="15.75" outlineLevel="1" thickBot="1" x14ac:dyDescent="0.3">
      <c r="B35" s="56"/>
      <c r="C35" s="58"/>
      <c r="D35" s="58"/>
      <c r="E35" s="58"/>
      <c r="F35" s="58"/>
      <c r="G35" s="59"/>
      <c r="I35" s="56"/>
      <c r="J35" s="443"/>
      <c r="K35" s="444"/>
      <c r="L35" s="89"/>
      <c r="M35" s="156"/>
      <c r="N35" s="91"/>
      <c r="O35" s="62"/>
      <c r="P35" s="89"/>
      <c r="Q35" s="156"/>
      <c r="R35" s="91"/>
      <c r="S35" s="94"/>
      <c r="T35" s="94"/>
      <c r="U35" s="94"/>
      <c r="V35" s="94"/>
      <c r="W35" s="95"/>
      <c r="X35" s="91"/>
      <c r="Y35" s="95"/>
      <c r="Z35" s="97"/>
      <c r="AB35" s="56"/>
      <c r="AC35" s="436">
        <f t="shared" si="18"/>
        <v>0</v>
      </c>
      <c r="AD35" s="437"/>
      <c r="AE35" s="73">
        <f t="shared" si="19"/>
        <v>0</v>
      </c>
      <c r="AF35" s="74" t="str">
        <f>IFERROR(AVERAGEIF(Lista_suspensa!$AD$2:$AD$41,AC35,Lista_suspensa!$AG$2:$AG$41)/100,"")</f>
        <v/>
      </c>
      <c r="AG35" s="75" t="str">
        <f>IFERROR(AVERAGEIF(Lista_suspensa!$AD$2:$AD$41,AC35,Lista_suspensa!$AF$2:$AF$41),"")</f>
        <v/>
      </c>
      <c r="AH35" s="73" t="str">
        <f t="shared" si="8"/>
        <v/>
      </c>
      <c r="AI35" s="203" t="str">
        <f t="shared" si="9"/>
        <v/>
      </c>
      <c r="AJ35" s="58"/>
      <c r="AK35" s="436">
        <f t="shared" si="0"/>
        <v>0</v>
      </c>
      <c r="AL35" s="437"/>
      <c r="AM35" s="76">
        <f t="shared" si="1"/>
        <v>0</v>
      </c>
      <c r="AN35" s="77" t="str">
        <f>IFERROR(AVERAGEIF(Lista_suspensa!$AJ$2:$AJ$41,AK35,Lista_suspensa!$AM$2:$AM$41)/100,"")</f>
        <v/>
      </c>
      <c r="AO35" s="78" t="str">
        <f>IFERROR(AVERAGEIF(Lista_suspensa!$AJ$2:$AJ$41,AK35,Lista_suspensa!$AL$2:$AL$41),"")</f>
        <v/>
      </c>
      <c r="AP35" s="73" t="str">
        <f t="shared" si="10"/>
        <v/>
      </c>
      <c r="AQ35" s="203" t="str">
        <f t="shared" si="11"/>
        <v/>
      </c>
      <c r="AR35" s="58"/>
      <c r="AS35" s="471" t="s">
        <v>316</v>
      </c>
      <c r="AT35" s="472"/>
      <c r="AU35" s="84" t="s">
        <v>225</v>
      </c>
      <c r="AV35" s="84" t="s">
        <v>328</v>
      </c>
      <c r="AW35" s="84" t="s">
        <v>226</v>
      </c>
      <c r="AX35" s="84" t="s">
        <v>306</v>
      </c>
      <c r="AY35" s="85" t="s">
        <v>307</v>
      </c>
      <c r="AZ35" s="104"/>
      <c r="BA35" s="95"/>
      <c r="BB35" s="95"/>
      <c r="BC35" s="95"/>
      <c r="BD35" s="95"/>
      <c r="BE35" s="58"/>
      <c r="BF35" s="58"/>
      <c r="BG35" s="58"/>
      <c r="BH35" s="59"/>
    </row>
    <row r="36" spans="2:60" ht="15.75" outlineLevel="1" thickBot="1" x14ac:dyDescent="0.3">
      <c r="B36" s="56"/>
      <c r="C36" s="305" t="s">
        <v>316</v>
      </c>
      <c r="D36" s="292" t="s">
        <v>28</v>
      </c>
      <c r="E36" s="292" t="s">
        <v>393</v>
      </c>
      <c r="F36" s="301" t="s">
        <v>27</v>
      </c>
      <c r="G36" s="59"/>
      <c r="I36" s="56"/>
      <c r="J36" s="443"/>
      <c r="K36" s="444"/>
      <c r="L36" s="89"/>
      <c r="M36" s="156"/>
      <c r="N36" s="58"/>
      <c r="O36" s="62"/>
      <c r="P36" s="89"/>
      <c r="Q36" s="156"/>
      <c r="R36" s="58"/>
      <c r="S36" s="419" t="s">
        <v>480</v>
      </c>
      <c r="T36" s="420"/>
      <c r="U36" s="420"/>
      <c r="V36" s="420"/>
      <c r="W36" s="421"/>
      <c r="X36" s="263">
        <v>11000</v>
      </c>
      <c r="Y36" s="95"/>
      <c r="Z36" s="59"/>
      <c r="AB36" s="56"/>
      <c r="AC36" s="436">
        <f t="shared" si="18"/>
        <v>0</v>
      </c>
      <c r="AD36" s="437"/>
      <c r="AE36" s="73">
        <f t="shared" si="19"/>
        <v>0</v>
      </c>
      <c r="AF36" s="74" t="str">
        <f>IFERROR(AVERAGEIF(Lista_suspensa!$AD$2:$AD$41,AC36,Lista_suspensa!$AG$2:$AG$41)/100,"")</f>
        <v/>
      </c>
      <c r="AG36" s="75" t="str">
        <f>IFERROR(AVERAGEIF(Lista_suspensa!$AD$2:$AD$41,AC36,Lista_suspensa!$AF$2:$AF$41),"")</f>
        <v/>
      </c>
      <c r="AH36" s="73" t="str">
        <f t="shared" si="8"/>
        <v/>
      </c>
      <c r="AI36" s="203" t="str">
        <f t="shared" si="9"/>
        <v/>
      </c>
      <c r="AJ36" s="58"/>
      <c r="AK36" s="436">
        <f t="shared" si="0"/>
        <v>0</v>
      </c>
      <c r="AL36" s="437"/>
      <c r="AM36" s="76">
        <f t="shared" si="1"/>
        <v>0</v>
      </c>
      <c r="AN36" s="77" t="str">
        <f>IFERROR(AVERAGEIF(Lista_suspensa!$AJ$2:$AJ$41,AK36,Lista_suspensa!$AM$2:$AM$41)/100,"")</f>
        <v/>
      </c>
      <c r="AO36" s="78" t="str">
        <f>IFERROR(AVERAGEIF(Lista_suspensa!$AJ$2:$AJ$41,AK36,Lista_suspensa!$AL$2:$AL$41),"")</f>
        <v/>
      </c>
      <c r="AP36" s="73" t="str">
        <f t="shared" si="10"/>
        <v/>
      </c>
      <c r="AQ36" s="203" t="str">
        <f t="shared" si="11"/>
        <v/>
      </c>
      <c r="AR36" s="58"/>
      <c r="AS36" s="467" t="str">
        <f>C37</f>
        <v>Mula</v>
      </c>
      <c r="AT36" s="468"/>
      <c r="AU36" s="73">
        <f>F37/2</f>
        <v>1000</v>
      </c>
      <c r="AV36" s="108">
        <v>0.2</v>
      </c>
      <c r="AW36" s="106">
        <v>10</v>
      </c>
      <c r="AX36" s="109">
        <f>F37*AV36</f>
        <v>400</v>
      </c>
      <c r="AY36" s="226">
        <f>IF(AS36=0,"",(F37-AW36)/AX36)</f>
        <v>4.9749999999999996</v>
      </c>
      <c r="AZ36" s="104"/>
      <c r="BA36" s="95"/>
      <c r="BB36" s="95"/>
      <c r="BC36" s="95"/>
      <c r="BD36" s="95"/>
      <c r="BE36" s="58"/>
      <c r="BF36" s="58"/>
      <c r="BG36" s="58"/>
      <c r="BH36" s="59"/>
    </row>
    <row r="37" spans="2:60" ht="15.75" outlineLevel="1" thickBot="1" x14ac:dyDescent="0.3">
      <c r="B37" s="56"/>
      <c r="C37" s="277" t="s">
        <v>320</v>
      </c>
      <c r="D37" s="274">
        <v>1</v>
      </c>
      <c r="E37" s="245">
        <v>2000</v>
      </c>
      <c r="F37" s="122">
        <f>E37*D37</f>
        <v>2000</v>
      </c>
      <c r="G37" s="59"/>
      <c r="I37" s="56"/>
      <c r="J37" s="443"/>
      <c r="K37" s="444"/>
      <c r="L37" s="89"/>
      <c r="M37" s="156"/>
      <c r="N37" s="58"/>
      <c r="O37" s="62"/>
      <c r="P37" s="89"/>
      <c r="Q37" s="156"/>
      <c r="R37" s="58"/>
      <c r="S37" s="94"/>
      <c r="T37" s="94"/>
      <c r="U37" s="94"/>
      <c r="V37" s="94"/>
      <c r="W37" s="95"/>
      <c r="X37" s="94"/>
      <c r="Y37" s="95"/>
      <c r="Z37" s="59"/>
      <c r="AB37" s="56"/>
      <c r="AC37" s="436">
        <f t="shared" si="18"/>
        <v>0</v>
      </c>
      <c r="AD37" s="437"/>
      <c r="AE37" s="73">
        <f t="shared" si="19"/>
        <v>0</v>
      </c>
      <c r="AF37" s="74" t="str">
        <f>IFERROR(AVERAGEIF(Lista_suspensa!$AD$2:$AD$41,AC37,Lista_suspensa!$AG$2:$AG$41)/100,"")</f>
        <v/>
      </c>
      <c r="AG37" s="75" t="str">
        <f>IFERROR(AVERAGEIF(Lista_suspensa!$AD$2:$AD$41,AC37,Lista_suspensa!$AF$2:$AF$41),"")</f>
        <v/>
      </c>
      <c r="AH37" s="73" t="str">
        <f t="shared" si="8"/>
        <v/>
      </c>
      <c r="AI37" s="203" t="str">
        <f t="shared" si="9"/>
        <v/>
      </c>
      <c r="AJ37" s="58"/>
      <c r="AK37" s="436">
        <f t="shared" si="0"/>
        <v>0</v>
      </c>
      <c r="AL37" s="437"/>
      <c r="AM37" s="76">
        <f t="shared" si="1"/>
        <v>0</v>
      </c>
      <c r="AN37" s="77" t="str">
        <f>IFERROR(AVERAGEIF(Lista_suspensa!$AJ$2:$AJ$41,AK37,Lista_suspensa!$AM$2:$AM$41)/100,"")</f>
        <v/>
      </c>
      <c r="AO37" s="78" t="str">
        <f>IFERROR(AVERAGEIF(Lista_suspensa!$AJ$2:$AJ$41,AK37,Lista_suspensa!$AL$2:$AL$41),"")</f>
        <v/>
      </c>
      <c r="AP37" s="73" t="str">
        <f t="shared" si="10"/>
        <v/>
      </c>
      <c r="AQ37" s="203" t="str">
        <f t="shared" si="11"/>
        <v/>
      </c>
      <c r="AR37" s="58"/>
      <c r="AS37" s="467" t="str">
        <f>C38</f>
        <v>Cavalo</v>
      </c>
      <c r="AT37" s="468"/>
      <c r="AU37" s="73">
        <f>F38/2</f>
        <v>700</v>
      </c>
      <c r="AV37" s="108">
        <v>0.2</v>
      </c>
      <c r="AW37" s="106">
        <v>10</v>
      </c>
      <c r="AX37" s="109">
        <f>F38*AV37</f>
        <v>280</v>
      </c>
      <c r="AY37" s="226">
        <f>IF(AS37=0,"",(F38-AW37)/AX37)</f>
        <v>4.9642857142857144</v>
      </c>
      <c r="AZ37" s="104"/>
      <c r="BA37" s="58"/>
      <c r="BB37" s="58"/>
      <c r="BC37" s="58"/>
      <c r="BD37" s="58"/>
      <c r="BE37" s="58"/>
      <c r="BF37" s="58"/>
      <c r="BG37" s="58"/>
      <c r="BH37" s="59"/>
    </row>
    <row r="38" spans="2:60" ht="15.75" outlineLevel="1" thickBot="1" x14ac:dyDescent="0.3">
      <c r="B38" s="56"/>
      <c r="C38" s="110" t="s">
        <v>318</v>
      </c>
      <c r="D38" s="174">
        <v>1</v>
      </c>
      <c r="E38" s="245">
        <v>1400</v>
      </c>
      <c r="F38" s="122">
        <f>E38*D38</f>
        <v>1400</v>
      </c>
      <c r="G38" s="59"/>
      <c r="I38" s="56"/>
      <c r="J38" s="443"/>
      <c r="K38" s="444"/>
      <c r="L38" s="89"/>
      <c r="M38" s="156"/>
      <c r="N38" s="58"/>
      <c r="O38" s="62"/>
      <c r="P38" s="89"/>
      <c r="Q38" s="156"/>
      <c r="R38" s="58"/>
      <c r="S38" s="422" t="s">
        <v>481</v>
      </c>
      <c r="T38" s="423"/>
      <c r="U38" s="423"/>
      <c r="V38" s="423"/>
      <c r="W38" s="423"/>
      <c r="X38" s="424"/>
      <c r="Y38" s="95"/>
      <c r="Z38" s="59"/>
      <c r="AB38" s="56"/>
      <c r="AC38" s="436">
        <f t="shared" si="18"/>
        <v>0</v>
      </c>
      <c r="AD38" s="437"/>
      <c r="AE38" s="73">
        <f t="shared" si="19"/>
        <v>0</v>
      </c>
      <c r="AF38" s="74" t="str">
        <f>IFERROR(AVERAGEIF(Lista_suspensa!$AD$2:$AD$41,AC38,Lista_suspensa!$AG$2:$AG$41)/100,"")</f>
        <v/>
      </c>
      <c r="AG38" s="75" t="str">
        <f>IFERROR(AVERAGEIF(Lista_suspensa!$AD$2:$AD$41,AC38,Lista_suspensa!$AF$2:$AF$41),"")</f>
        <v/>
      </c>
      <c r="AH38" s="73" t="str">
        <f t="shared" si="8"/>
        <v/>
      </c>
      <c r="AI38" s="203" t="str">
        <f t="shared" si="9"/>
        <v/>
      </c>
      <c r="AJ38" s="95"/>
      <c r="AK38" s="436">
        <f t="shared" si="0"/>
        <v>0</v>
      </c>
      <c r="AL38" s="437"/>
      <c r="AM38" s="76">
        <f t="shared" si="1"/>
        <v>0</v>
      </c>
      <c r="AN38" s="77" t="str">
        <f>IFERROR(AVERAGEIF(Lista_suspensa!$AJ$2:$AJ$41,AK38,Lista_suspensa!$AM$2:$AM$41)/100,"")</f>
        <v/>
      </c>
      <c r="AO38" s="78" t="str">
        <f>IFERROR(AVERAGEIF(Lista_suspensa!$AJ$2:$AJ$41,AK38,Lista_suspensa!$AL$2:$AL$41),"")</f>
        <v/>
      </c>
      <c r="AP38" s="73" t="str">
        <f t="shared" si="10"/>
        <v/>
      </c>
      <c r="AQ38" s="203" t="str">
        <f t="shared" si="11"/>
        <v/>
      </c>
      <c r="AR38" s="58"/>
      <c r="AS38" s="469" t="str">
        <f>C39</f>
        <v>Cavalo</v>
      </c>
      <c r="AT38" s="470"/>
      <c r="AU38" s="204">
        <f>F39/2</f>
        <v>3750</v>
      </c>
      <c r="AV38" s="223">
        <v>0.2</v>
      </c>
      <c r="AW38" s="224">
        <v>10</v>
      </c>
      <c r="AX38" s="225">
        <f>F39*AV38</f>
        <v>1500</v>
      </c>
      <c r="AY38" s="227">
        <f>IF(AS38=0,"",(F39-AW38)/AX38)</f>
        <v>4.9933333333333332</v>
      </c>
      <c r="AZ38" s="104"/>
      <c r="BA38" s="58"/>
      <c r="BB38" s="58"/>
      <c r="BC38" s="58"/>
      <c r="BD38" s="58"/>
      <c r="BE38" s="58"/>
      <c r="BF38" s="58"/>
      <c r="BG38" s="58"/>
      <c r="BH38" s="59"/>
    </row>
    <row r="39" spans="2:60" ht="15.75" outlineLevel="1" thickBot="1" x14ac:dyDescent="0.3">
      <c r="B39" s="56"/>
      <c r="C39" s="278" t="s">
        <v>318</v>
      </c>
      <c r="D39" s="176">
        <v>5</v>
      </c>
      <c r="E39" s="245">
        <v>1500</v>
      </c>
      <c r="F39" s="279">
        <f>E39*D39</f>
        <v>7500</v>
      </c>
      <c r="G39" s="59"/>
      <c r="I39" s="56"/>
      <c r="J39" s="443"/>
      <c r="K39" s="444"/>
      <c r="L39" s="111"/>
      <c r="M39" s="157"/>
      <c r="N39" s="58"/>
      <c r="O39" s="62"/>
      <c r="P39" s="111"/>
      <c r="Q39" s="157"/>
      <c r="R39" s="58"/>
      <c r="S39" s="425"/>
      <c r="T39" s="426"/>
      <c r="U39" s="426"/>
      <c r="V39" s="426"/>
      <c r="W39" s="426"/>
      <c r="X39" s="427"/>
      <c r="Y39" s="95"/>
      <c r="Z39" s="59"/>
      <c r="AB39" s="56"/>
      <c r="AC39" s="460">
        <f t="shared" si="18"/>
        <v>0</v>
      </c>
      <c r="AD39" s="461"/>
      <c r="AE39" s="204">
        <f t="shared" si="19"/>
        <v>0</v>
      </c>
      <c r="AF39" s="205" t="str">
        <f>IFERROR(AVERAGEIF(Lista_suspensa!$AD$2:$AD$41,AC39,Lista_suspensa!$AG$2:$AG$41)/100,"")</f>
        <v/>
      </c>
      <c r="AG39" s="206" t="str">
        <f>IFERROR(AVERAGEIF(Lista_suspensa!$AD$2:$AD$41,AC39,Lista_suspensa!$AF$2:$AF$41),"")</f>
        <v/>
      </c>
      <c r="AH39" s="204" t="str">
        <f t="shared" si="8"/>
        <v/>
      </c>
      <c r="AI39" s="207" t="str">
        <f t="shared" si="9"/>
        <v/>
      </c>
      <c r="AJ39" s="95"/>
      <c r="AK39" s="460">
        <f t="shared" si="0"/>
        <v>0</v>
      </c>
      <c r="AL39" s="461"/>
      <c r="AM39" s="215">
        <f t="shared" si="1"/>
        <v>0</v>
      </c>
      <c r="AN39" s="216" t="str">
        <f>IFERROR(AVERAGEIF(Lista_suspensa!$AJ$2:$AJ$41,AK39,Lista_suspensa!$AM$2:$AM$41)/100,"")</f>
        <v/>
      </c>
      <c r="AO39" s="142" t="str">
        <f>IFERROR(AVERAGEIF(Lista_suspensa!$AJ$2:$AJ$41,AK39,Lista_suspensa!$AL$2:$AL$41),"")</f>
        <v/>
      </c>
      <c r="AP39" s="204" t="str">
        <f t="shared" si="10"/>
        <v/>
      </c>
      <c r="AQ39" s="207" t="str">
        <f t="shared" si="11"/>
        <v/>
      </c>
      <c r="AR39" s="58"/>
      <c r="AS39" s="458" t="s">
        <v>27</v>
      </c>
      <c r="AT39" s="459"/>
      <c r="AU39" s="211">
        <f>SUM(AU36:AU38)</f>
        <v>5450</v>
      </c>
      <c r="AV39" s="58"/>
      <c r="AW39" s="58"/>
      <c r="AX39" s="219">
        <f>SUM(AX36:AX38)</f>
        <v>2180</v>
      </c>
      <c r="AY39" s="228">
        <f>SUM(AY36:AY38)</f>
        <v>14.932619047619045</v>
      </c>
      <c r="AZ39" s="58"/>
      <c r="BA39" s="58"/>
      <c r="BB39" s="58"/>
      <c r="BC39" s="58"/>
      <c r="BD39" s="58"/>
      <c r="BE39" s="58"/>
      <c r="BF39" s="58"/>
      <c r="BG39" s="58"/>
      <c r="BH39" s="59"/>
    </row>
    <row r="40" spans="2:60" ht="15.75" outlineLevel="1" thickBot="1" x14ac:dyDescent="0.3">
      <c r="B40" s="56"/>
      <c r="C40" s="270" t="s">
        <v>27</v>
      </c>
      <c r="D40" s="175">
        <f>SUM(D37:D39)</f>
        <v>7</v>
      </c>
      <c r="E40" s="123">
        <f>((D37*E37)+(D38*E38)+(D39*E39))/SUM(D37:D39)</f>
        <v>1557.1428571428571</v>
      </c>
      <c r="F40" s="124">
        <f>SUM(F37:F39)</f>
        <v>10900</v>
      </c>
      <c r="G40" s="59"/>
      <c r="I40" s="56"/>
      <c r="J40" s="441" t="s">
        <v>27</v>
      </c>
      <c r="K40" s="442"/>
      <c r="L40" s="123">
        <f>SUM(L5:L39)</f>
        <v>148712</v>
      </c>
      <c r="M40" s="232"/>
      <c r="N40" s="58"/>
      <c r="O40" s="355" t="s">
        <v>27</v>
      </c>
      <c r="P40" s="123">
        <f>SUM(P5:P39)</f>
        <v>110</v>
      </c>
      <c r="Q40" s="124"/>
      <c r="R40" s="58"/>
      <c r="S40" s="428"/>
      <c r="T40" s="429"/>
      <c r="U40" s="429"/>
      <c r="V40" s="429"/>
      <c r="W40" s="429"/>
      <c r="X40" s="430"/>
      <c r="Y40" s="112"/>
      <c r="Z40" s="59"/>
      <c r="AB40" s="56"/>
      <c r="AC40" s="445" t="s">
        <v>27</v>
      </c>
      <c r="AD40" s="446"/>
      <c r="AE40" s="208">
        <f>SUM(AE5:AE39)</f>
        <v>74356</v>
      </c>
      <c r="AF40" s="58"/>
      <c r="AG40" s="58"/>
      <c r="AH40" s="209">
        <f>SUM(AH5:AH39)</f>
        <v>30742.400000000001</v>
      </c>
      <c r="AI40" s="210">
        <f>SUM(AI5:AI39)</f>
        <v>8836.9599999999991</v>
      </c>
      <c r="AJ40" s="95"/>
      <c r="AK40" s="462" t="s">
        <v>27</v>
      </c>
      <c r="AL40" s="463"/>
      <c r="AM40" s="212">
        <f>SUM(AM5:AM39)</f>
        <v>55</v>
      </c>
      <c r="AN40" s="58"/>
      <c r="AO40" s="58"/>
      <c r="AP40" s="213">
        <f>SUM(AP5:AP39)</f>
        <v>1566.4</v>
      </c>
      <c r="AQ40" s="214">
        <f>SUM(AQ5:AQ39)</f>
        <v>-72.820000000000007</v>
      </c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9"/>
    </row>
    <row r="41" spans="2:60" ht="15.75" outlineLevel="1" thickBot="1" x14ac:dyDescent="0.3">
      <c r="B41" s="113"/>
      <c r="C41" s="114"/>
      <c r="D41" s="114"/>
      <c r="E41" s="114"/>
      <c r="F41" s="114"/>
      <c r="G41" s="115"/>
      <c r="I41" s="113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5"/>
      <c r="AB41" s="113"/>
      <c r="AC41" s="114"/>
      <c r="AD41" s="114"/>
      <c r="AE41" s="114"/>
      <c r="AF41" s="114"/>
      <c r="AG41" s="114"/>
      <c r="AH41" s="114"/>
      <c r="AI41" s="114"/>
      <c r="AJ41" s="116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5"/>
    </row>
    <row r="42" spans="2:60" ht="15" hidden="1" outlineLevel="1" x14ac:dyDescent="0.25">
      <c r="AB42" s="117"/>
      <c r="AC42" s="117"/>
      <c r="AD42" s="49"/>
      <c r="AE42" s="49"/>
      <c r="AF42" s="49"/>
      <c r="AG42" s="49"/>
      <c r="AH42" s="49"/>
      <c r="AI42" s="49"/>
      <c r="AJ42" s="118"/>
      <c r="AK42" s="49"/>
      <c r="AL42" s="49"/>
      <c r="AM42" s="49"/>
      <c r="AN42" s="49"/>
      <c r="AO42" s="49"/>
      <c r="AP42" s="49"/>
      <c r="AQ42" s="49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49"/>
      <c r="BF42" s="49"/>
      <c r="BG42" s="49"/>
      <c r="BH42" s="49"/>
    </row>
    <row r="43" spans="2:60" ht="15" hidden="1" outlineLevel="1" x14ac:dyDescent="0.25">
      <c r="AB43" s="117"/>
      <c r="AC43" s="117"/>
      <c r="AD43" s="49"/>
      <c r="AE43" s="49"/>
      <c r="AF43" s="49"/>
      <c r="AG43" s="49"/>
      <c r="AH43" s="49"/>
      <c r="AI43" s="49"/>
      <c r="AJ43" s="118"/>
      <c r="AK43" s="49"/>
      <c r="AL43" s="49"/>
      <c r="AM43" s="49"/>
      <c r="AN43" s="49"/>
      <c r="AO43" s="49"/>
      <c r="AP43" s="49"/>
      <c r="AQ43" s="49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</row>
    <row r="44" spans="2:60" ht="15" hidden="1" outlineLevel="1" x14ac:dyDescent="0.25">
      <c r="AB44" s="117"/>
      <c r="AC44" s="117"/>
      <c r="AD44" s="49"/>
      <c r="AE44" s="49"/>
      <c r="AF44" s="49"/>
      <c r="AG44" s="49"/>
      <c r="AH44" s="49"/>
      <c r="AI44" s="49"/>
      <c r="AJ44" s="118"/>
      <c r="AK44" s="49"/>
      <c r="AL44" s="49"/>
      <c r="AM44" s="49"/>
      <c r="AN44" s="49"/>
      <c r="AO44" s="49"/>
      <c r="AP44" s="49"/>
      <c r="AQ44" s="49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</row>
    <row r="45" spans="2:60" ht="15" hidden="1" outlineLevel="1" x14ac:dyDescent="0.25">
      <c r="AB45" s="117"/>
      <c r="AC45" s="117"/>
      <c r="AD45" s="49"/>
      <c r="AE45" s="49"/>
      <c r="AF45" s="49"/>
      <c r="AG45" s="49"/>
      <c r="AH45" s="49"/>
      <c r="AI45" s="49"/>
      <c r="AJ45" s="118"/>
      <c r="AK45" s="49"/>
      <c r="AL45" s="49"/>
      <c r="AM45" s="49"/>
      <c r="AN45" s="49"/>
      <c r="AO45" s="49"/>
      <c r="AP45" s="49"/>
      <c r="AQ45" s="49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</row>
    <row r="46" spans="2:60" ht="15" hidden="1" outlineLevel="1" x14ac:dyDescent="0.25">
      <c r="AB46" s="117"/>
      <c r="AC46" s="117"/>
      <c r="AD46" s="49"/>
      <c r="AE46" s="49"/>
      <c r="AF46" s="49"/>
      <c r="AG46" s="49"/>
      <c r="AH46" s="49"/>
      <c r="AI46" s="49"/>
      <c r="AJ46" s="118"/>
      <c r="AK46" s="49"/>
      <c r="AL46" s="49"/>
      <c r="AM46" s="49"/>
      <c r="AN46" s="49"/>
      <c r="AO46" s="49"/>
      <c r="AP46" s="49"/>
      <c r="AQ46" s="49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</row>
    <row r="47" spans="2:60" ht="15" hidden="1" outlineLevel="1" x14ac:dyDescent="0.25">
      <c r="AB47" s="117"/>
      <c r="AC47" s="117"/>
      <c r="AD47" s="49"/>
      <c r="AE47" s="49"/>
      <c r="AF47" s="49"/>
      <c r="AG47" s="117"/>
      <c r="AH47" s="117"/>
      <c r="AI47" s="117"/>
      <c r="AJ47" s="118"/>
      <c r="AK47" s="117"/>
      <c r="AL47" s="117"/>
      <c r="AM47" s="49"/>
      <c r="AN47" s="49"/>
      <c r="AO47" s="49"/>
      <c r="AP47" s="49"/>
      <c r="AQ47" s="49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</row>
    <row r="48" spans="2:60" ht="15" hidden="1" outlineLevel="1" x14ac:dyDescent="0.25">
      <c r="AB48" s="117"/>
      <c r="AC48" s="117"/>
      <c r="AD48" s="49"/>
      <c r="AE48" s="49"/>
      <c r="AF48" s="49"/>
      <c r="AG48" s="117"/>
      <c r="AH48" s="117"/>
      <c r="AI48" s="117"/>
      <c r="AJ48" s="118"/>
      <c r="AK48" s="117"/>
      <c r="AL48" s="117"/>
      <c r="AM48" s="49"/>
      <c r="AN48" s="49"/>
      <c r="AO48" s="49"/>
      <c r="AP48" s="49"/>
      <c r="AQ48" s="49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</row>
    <row r="49" spans="28:56" ht="15" hidden="1" outlineLevel="1" x14ac:dyDescent="0.25">
      <c r="AB49" s="117"/>
      <c r="AC49" s="117"/>
      <c r="AD49" s="49"/>
      <c r="AE49" s="49"/>
      <c r="AF49" s="49"/>
      <c r="AG49" s="117"/>
      <c r="AH49" s="117"/>
      <c r="AI49" s="117"/>
      <c r="AJ49" s="118"/>
      <c r="AK49" s="117"/>
      <c r="AL49" s="117"/>
      <c r="AM49" s="49"/>
      <c r="AN49" s="49"/>
      <c r="AO49" s="49"/>
      <c r="AP49" s="49"/>
      <c r="AQ49" s="49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</row>
    <row r="50" spans="28:56" ht="15" hidden="1" outlineLevel="1" x14ac:dyDescent="0.25">
      <c r="AB50" s="117"/>
      <c r="AC50" s="117"/>
      <c r="AD50" s="49"/>
      <c r="AE50" s="49"/>
      <c r="AF50" s="49"/>
      <c r="AG50" s="117"/>
      <c r="AH50" s="117"/>
      <c r="AI50" s="117"/>
      <c r="AJ50" s="118"/>
      <c r="AK50" s="117"/>
      <c r="AL50" s="117"/>
      <c r="AM50" s="49"/>
      <c r="AN50" s="49"/>
      <c r="AO50" s="49"/>
      <c r="AP50" s="49"/>
      <c r="AQ50" s="49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</row>
    <row r="51" spans="28:56" ht="15" hidden="1" outlineLevel="1" x14ac:dyDescent="0.25">
      <c r="AB51" s="117"/>
      <c r="AC51" s="117"/>
      <c r="AD51" s="49"/>
      <c r="AE51" s="49"/>
      <c r="AF51" s="49"/>
      <c r="AG51" s="117"/>
      <c r="AH51" s="117"/>
      <c r="AI51" s="117"/>
      <c r="AJ51" s="118"/>
      <c r="AK51" s="117"/>
      <c r="AL51" s="117"/>
      <c r="AM51" s="49"/>
      <c r="AN51" s="49"/>
      <c r="AO51" s="49"/>
      <c r="AP51" s="49"/>
      <c r="AQ51" s="49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</row>
    <row r="52" spans="28:56" ht="15" hidden="1" outlineLevel="1" x14ac:dyDescent="0.25">
      <c r="AB52" s="117"/>
      <c r="AC52" s="117"/>
      <c r="AD52" s="49"/>
      <c r="AE52" s="49"/>
      <c r="AF52" s="49"/>
      <c r="AG52" s="117"/>
      <c r="AH52" s="117"/>
      <c r="AI52" s="117"/>
      <c r="AJ52" s="118"/>
      <c r="AK52" s="117"/>
      <c r="AL52" s="117"/>
      <c r="AM52" s="49"/>
      <c r="AN52" s="49"/>
      <c r="AO52" s="49"/>
      <c r="AP52" s="49"/>
      <c r="AQ52" s="49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</row>
    <row r="53" spans="28:56" ht="15" hidden="1" outlineLevel="1" x14ac:dyDescent="0.25">
      <c r="AB53" s="117"/>
      <c r="AC53" s="117"/>
      <c r="AD53" s="49"/>
      <c r="AE53" s="49"/>
      <c r="AF53" s="49"/>
      <c r="AG53" s="117"/>
      <c r="AH53" s="117"/>
      <c r="AI53" s="117"/>
      <c r="AJ53" s="117"/>
      <c r="AK53" s="117"/>
      <c r="AL53" s="117"/>
      <c r="AM53" s="49"/>
      <c r="AN53" s="49"/>
      <c r="AO53" s="49"/>
      <c r="AP53" s="49"/>
      <c r="AQ53" s="49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</row>
    <row r="54" spans="28:56" ht="15" hidden="1" outlineLevel="1" x14ac:dyDescent="0.25">
      <c r="AB54" s="117"/>
      <c r="AC54" s="117"/>
      <c r="AD54" s="49"/>
      <c r="AE54" s="49"/>
      <c r="AF54" s="49"/>
      <c r="AG54" s="117"/>
      <c r="AH54" s="117"/>
      <c r="AI54" s="117"/>
      <c r="AJ54" s="117"/>
      <c r="AK54" s="117"/>
      <c r="AL54" s="117"/>
      <c r="AM54" s="49"/>
      <c r="AN54" s="49"/>
      <c r="AO54" s="49"/>
      <c r="AP54" s="49"/>
      <c r="AQ54" s="49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</row>
    <row r="55" spans="28:56" ht="15" hidden="1" outlineLevel="1" x14ac:dyDescent="0.25">
      <c r="AB55" s="117"/>
      <c r="AC55" s="117"/>
      <c r="AD55" s="49"/>
      <c r="AE55" s="49"/>
      <c r="AF55" s="49"/>
      <c r="AG55" s="117"/>
      <c r="AH55" s="117"/>
      <c r="AI55" s="117"/>
      <c r="AJ55" s="117"/>
      <c r="AK55" s="117"/>
      <c r="AL55" s="117"/>
      <c r="AM55" s="49"/>
      <c r="AN55" s="49"/>
      <c r="AO55" s="49"/>
      <c r="AP55" s="49"/>
      <c r="AQ55" s="49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</row>
    <row r="56" spans="28:56" ht="15" hidden="1" customHeight="1" outlineLevel="1" x14ac:dyDescent="0.25">
      <c r="AB56" s="117"/>
      <c r="AC56" s="117"/>
      <c r="AD56" s="49"/>
      <c r="AE56" s="49"/>
      <c r="AF56" s="49"/>
      <c r="AG56" s="117"/>
      <c r="AH56" s="117"/>
      <c r="AI56" s="117"/>
      <c r="AJ56" s="117"/>
      <c r="AK56" s="117"/>
      <c r="AL56" s="117"/>
      <c r="AM56" s="49"/>
      <c r="AN56" s="49"/>
      <c r="AO56" s="49"/>
      <c r="AP56" s="49"/>
      <c r="AQ56" s="49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</row>
    <row r="57" spans="28:56" ht="15" hidden="1" outlineLevel="1" x14ac:dyDescent="0.25">
      <c r="AB57" s="117"/>
      <c r="AC57" s="117"/>
      <c r="AD57" s="49"/>
      <c r="AE57" s="49"/>
      <c r="AF57" s="49"/>
      <c r="AG57" s="117"/>
      <c r="AH57" s="117"/>
      <c r="AI57" s="117"/>
      <c r="AJ57" s="117"/>
      <c r="AK57" s="117"/>
      <c r="AL57" s="117"/>
      <c r="AM57" s="49"/>
      <c r="AN57" s="49"/>
      <c r="AO57" s="49"/>
      <c r="AP57" s="49"/>
      <c r="AQ57" s="49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</row>
    <row r="58" spans="28:56" ht="15" hidden="1" customHeight="1" outlineLevel="1" x14ac:dyDescent="0.25">
      <c r="AG58" s="50"/>
      <c r="AH58" s="50"/>
      <c r="AI58" s="50"/>
      <c r="AJ58" s="50"/>
      <c r="AK58" s="50"/>
      <c r="AL58" s="50"/>
    </row>
    <row r="59" spans="28:56" ht="15" hidden="1" outlineLevel="1" x14ac:dyDescent="0.25"/>
    <row r="60" spans="28:56" ht="15" hidden="1" outlineLevel="1" x14ac:dyDescent="0.25"/>
    <row r="61" spans="28:56" ht="15" hidden="1" outlineLevel="1" x14ac:dyDescent="0.25"/>
    <row r="62" spans="28:56" ht="15" hidden="1" outlineLevel="1" x14ac:dyDescent="0.25"/>
    <row r="63" spans="28:56" ht="15" hidden="1" customHeight="1" x14ac:dyDescent="0.25"/>
    <row r="64" spans="28:56" ht="15" hidden="1" customHeight="1" x14ac:dyDescent="0.25"/>
    <row r="65" spans="37:43" ht="15" hidden="1" customHeight="1" outlineLevel="1" x14ac:dyDescent="0.25"/>
    <row r="66" spans="37:43" ht="15" hidden="1" outlineLevel="1" x14ac:dyDescent="0.25"/>
    <row r="67" spans="37:43" ht="15" hidden="1" outlineLevel="1" x14ac:dyDescent="0.25"/>
    <row r="68" spans="37:43" ht="15" hidden="1" customHeight="1" outlineLevel="1" x14ac:dyDescent="0.25"/>
    <row r="69" spans="37:43" ht="15" hidden="1" outlineLevel="1" x14ac:dyDescent="0.25"/>
    <row r="70" spans="37:43" ht="15" hidden="1" outlineLevel="1" x14ac:dyDescent="0.25"/>
    <row r="71" spans="37:43" ht="15" hidden="1" outlineLevel="1" x14ac:dyDescent="0.25"/>
    <row r="72" spans="37:43" ht="15" hidden="1" outlineLevel="1" x14ac:dyDescent="0.25">
      <c r="AK72" s="119"/>
      <c r="AL72" s="119"/>
      <c r="AM72" s="119"/>
      <c r="AN72" s="119"/>
      <c r="AO72" s="119"/>
      <c r="AP72" s="119"/>
      <c r="AQ72" s="119"/>
    </row>
    <row r="73" spans="37:43" ht="15" hidden="1" outlineLevel="1" x14ac:dyDescent="0.25">
      <c r="AK73" s="119"/>
      <c r="AL73" s="119"/>
      <c r="AM73" s="119"/>
      <c r="AN73" s="119"/>
      <c r="AO73" s="119"/>
      <c r="AP73" s="119"/>
      <c r="AQ73" s="119"/>
    </row>
    <row r="74" spans="37:43" ht="15" hidden="1" outlineLevel="1" x14ac:dyDescent="0.25"/>
    <row r="75" spans="37:43" ht="15" hidden="1" outlineLevel="1" x14ac:dyDescent="0.25"/>
    <row r="76" spans="37:43" ht="15" hidden="1" outlineLevel="1" x14ac:dyDescent="0.25"/>
    <row r="77" spans="37:43" ht="15" hidden="1" outlineLevel="1" x14ac:dyDescent="0.25"/>
    <row r="78" spans="37:43" ht="15" hidden="1" outlineLevel="1" x14ac:dyDescent="0.25"/>
    <row r="79" spans="37:43" ht="15" hidden="1" outlineLevel="1" x14ac:dyDescent="0.25"/>
    <row r="80" spans="37:43" ht="15" hidden="1" outlineLevel="1" x14ac:dyDescent="0.25"/>
    <row r="81" ht="15" hidden="1" outlineLevel="1" x14ac:dyDescent="0.25"/>
    <row r="82" ht="15" hidden="1" outlineLevel="1" x14ac:dyDescent="0.25"/>
    <row r="83" ht="15" hidden="1" outlineLevel="1" x14ac:dyDescent="0.25"/>
    <row r="84" ht="15" hidden="1" outlineLevel="1" x14ac:dyDescent="0.25"/>
    <row r="85" ht="15" hidden="1" customHeight="1" collapsed="1" x14ac:dyDescent="0.25"/>
    <row r="86" ht="15" hidden="1" customHeight="1" x14ac:dyDescent="0.25"/>
    <row r="87" ht="15" hidden="1" customHeight="1" outlineLevel="1" x14ac:dyDescent="0.25"/>
    <row r="88" ht="15" hidden="1" outlineLevel="1" x14ac:dyDescent="0.25"/>
    <row r="89" ht="15" hidden="1" outlineLevel="1" x14ac:dyDescent="0.25"/>
    <row r="90" ht="15" hidden="1" outlineLevel="1" x14ac:dyDescent="0.25"/>
    <row r="91" ht="15" hidden="1" outlineLevel="1" x14ac:dyDescent="0.25"/>
    <row r="92" ht="15" hidden="1" outlineLevel="1" x14ac:dyDescent="0.25"/>
    <row r="93" ht="15" hidden="1" outlineLevel="1" x14ac:dyDescent="0.25"/>
    <row r="94" ht="15" hidden="1" outlineLevel="1" x14ac:dyDescent="0.25"/>
    <row r="95" ht="15" hidden="1" outlineLevel="1" x14ac:dyDescent="0.25"/>
    <row r="96" ht="15" hidden="1" outlineLevel="1" x14ac:dyDescent="0.25"/>
    <row r="97" ht="15" hidden="1" outlineLevel="1" x14ac:dyDescent="0.25"/>
    <row r="98" ht="15" hidden="1" outlineLevel="1" x14ac:dyDescent="0.25"/>
    <row r="99" ht="15" hidden="1" outlineLevel="1" x14ac:dyDescent="0.25"/>
    <row r="100" ht="15" hidden="1" outlineLevel="1" x14ac:dyDescent="0.25"/>
    <row r="101" ht="15" hidden="1" outlineLevel="1" x14ac:dyDescent="0.25"/>
    <row r="102" ht="15" hidden="1" outlineLevel="1" x14ac:dyDescent="0.25"/>
    <row r="103" ht="15" hidden="1" outlineLevel="1" x14ac:dyDescent="0.25"/>
    <row r="104" ht="15" hidden="1" outlineLevel="1" x14ac:dyDescent="0.25"/>
    <row r="105" ht="15" hidden="1" outlineLevel="1" x14ac:dyDescent="0.25"/>
    <row r="106" ht="15" hidden="1" outlineLevel="1" x14ac:dyDescent="0.25"/>
    <row r="107" ht="15" hidden="1" outlineLevel="1" x14ac:dyDescent="0.25"/>
    <row r="108" ht="15" hidden="1" customHeight="1" collapsed="1" x14ac:dyDescent="0.25"/>
    <row r="109" ht="15" hidden="1" customHeight="1" x14ac:dyDescent="0.25"/>
    <row r="110" ht="15" hidden="1" customHeight="1" outlineLevel="1" x14ac:dyDescent="0.25"/>
    <row r="111" ht="15" hidden="1" outlineLevel="1" x14ac:dyDescent="0.25"/>
    <row r="112" ht="15" hidden="1" outlineLevel="1" x14ac:dyDescent="0.25"/>
    <row r="113" ht="15" hidden="1" customHeight="1" collapsed="1" x14ac:dyDescent="0.25"/>
    <row r="114" ht="15" hidden="1" customHeight="1" x14ac:dyDescent="0.25"/>
    <row r="115" ht="15" hidden="1" outlineLevel="1" x14ac:dyDescent="0.25"/>
    <row r="116" ht="15" hidden="1" outlineLevel="1" x14ac:dyDescent="0.25"/>
    <row r="117" ht="15" hidden="1" outlineLevel="1" x14ac:dyDescent="0.25"/>
    <row r="118" ht="15" hidden="1" outlineLevel="1" x14ac:dyDescent="0.25"/>
    <row r="119" ht="15" hidden="1" customHeight="1" collapsed="1" x14ac:dyDescent="0.25"/>
    <row r="120" ht="15" hidden="1" customHeight="1" x14ac:dyDescent="0.25"/>
    <row r="121" ht="15" hidden="1" customHeight="1" outlineLevel="1" x14ac:dyDescent="0.25"/>
    <row r="122" ht="15" hidden="1" outlineLevel="1" x14ac:dyDescent="0.25"/>
    <row r="123" ht="15" hidden="1" outlineLevel="1" x14ac:dyDescent="0.25"/>
    <row r="124" ht="15" hidden="1" outlineLevel="1" x14ac:dyDescent="0.25"/>
    <row r="125" ht="15" hidden="1" outlineLevel="1" x14ac:dyDescent="0.25"/>
    <row r="126" ht="15" hidden="1" outlineLevel="1" x14ac:dyDescent="0.25"/>
    <row r="127" ht="15" hidden="1" outlineLevel="1" x14ac:dyDescent="0.25"/>
    <row r="128" ht="15" hidden="1" outlineLevel="1" x14ac:dyDescent="0.25"/>
    <row r="129" ht="15" hidden="1" outlineLevel="1" x14ac:dyDescent="0.25"/>
    <row r="130" ht="15" hidden="1" outlineLevel="1" x14ac:dyDescent="0.25"/>
    <row r="131" ht="15" hidden="1" outlineLevel="1" x14ac:dyDescent="0.25"/>
    <row r="132" ht="15" hidden="1" outlineLevel="1" x14ac:dyDescent="0.25"/>
    <row r="133" ht="15" hidden="1" outlineLevel="1" x14ac:dyDescent="0.25"/>
    <row r="134" ht="15" hidden="1" outlineLevel="1" x14ac:dyDescent="0.25"/>
    <row r="135" ht="15" hidden="1" outlineLevel="1" x14ac:dyDescent="0.25"/>
    <row r="136" ht="15" hidden="1" outlineLevel="1" x14ac:dyDescent="0.25"/>
    <row r="137" ht="15" hidden="1" outlineLevel="1" x14ac:dyDescent="0.25"/>
    <row r="138" ht="15" hidden="1" outlineLevel="1" x14ac:dyDescent="0.25"/>
    <row r="139" ht="15" hidden="1" outlineLevel="1" x14ac:dyDescent="0.25"/>
    <row r="140" ht="15" hidden="1" outlineLevel="1" x14ac:dyDescent="0.25"/>
    <row r="141" ht="15" hidden="1" outlineLevel="1" x14ac:dyDescent="0.25"/>
    <row r="142" ht="15" hidden="1" outlineLevel="1" x14ac:dyDescent="0.25"/>
    <row r="143" ht="15" hidden="1" outlineLevel="1" x14ac:dyDescent="0.25"/>
    <row r="144" ht="15" hidden="1" outlineLevel="1" x14ac:dyDescent="0.25"/>
    <row r="145" ht="15" hidden="1" customHeight="1" collapsed="1" x14ac:dyDescent="0.25"/>
    <row r="146" ht="15" hidden="1" customHeight="1" x14ac:dyDescent="0.25"/>
    <row r="147" ht="15" hidden="1" outlineLevel="1" x14ac:dyDescent="0.25"/>
    <row r="148" ht="15" hidden="1" outlineLevel="1" x14ac:dyDescent="0.25"/>
    <row r="149" ht="15" hidden="1" outlineLevel="1" x14ac:dyDescent="0.25"/>
    <row r="150" ht="15" hidden="1" outlineLevel="1" x14ac:dyDescent="0.25"/>
    <row r="151" ht="15" hidden="1" outlineLevel="1" x14ac:dyDescent="0.25"/>
    <row r="152" ht="15" hidden="1" outlineLevel="1" x14ac:dyDescent="0.25"/>
    <row r="153" ht="15" hidden="1" outlineLevel="1" x14ac:dyDescent="0.25"/>
    <row r="154" ht="15" hidden="1" outlineLevel="1" x14ac:dyDescent="0.25"/>
    <row r="155" ht="15" hidden="1" outlineLevel="1" x14ac:dyDescent="0.25"/>
    <row r="156" ht="15" hidden="1" outlineLevel="1" x14ac:dyDescent="0.25"/>
    <row r="157" ht="15" hidden="1" outlineLevel="1" x14ac:dyDescent="0.25"/>
    <row r="158" ht="15" hidden="1" outlineLevel="1" x14ac:dyDescent="0.25"/>
    <row r="159" ht="15" hidden="1" outlineLevel="1" x14ac:dyDescent="0.25"/>
    <row r="160" ht="15" hidden="1" outlineLevel="1" x14ac:dyDescent="0.25"/>
    <row r="161" ht="15" hidden="1" outlineLevel="1" x14ac:dyDescent="0.25"/>
    <row r="162" ht="15" hidden="1" outlineLevel="1" x14ac:dyDescent="0.25"/>
    <row r="163" ht="15" hidden="1" outlineLevel="1" x14ac:dyDescent="0.25"/>
    <row r="164" ht="15" hidden="1" customHeight="1" collapsed="1" x14ac:dyDescent="0.25"/>
    <row r="166" ht="15" hidden="1" outlineLevel="1" x14ac:dyDescent="0.25"/>
    <row r="167" ht="15" hidden="1" outlineLevel="1" x14ac:dyDescent="0.25"/>
    <row r="168" ht="15" hidden="1" outlineLevel="1" x14ac:dyDescent="0.25"/>
    <row r="169" ht="15" hidden="1" outlineLevel="1" x14ac:dyDescent="0.25"/>
    <row r="170" ht="15" hidden="1" outlineLevel="1" x14ac:dyDescent="0.25"/>
    <row r="171" ht="15" hidden="1" outlineLevel="1" x14ac:dyDescent="0.25"/>
    <row r="172" ht="15" hidden="1" outlineLevel="1" x14ac:dyDescent="0.25"/>
    <row r="173" ht="15" hidden="1" outlineLevel="1" x14ac:dyDescent="0.25"/>
    <row r="174" ht="15" hidden="1" outlineLevel="1" x14ac:dyDescent="0.25"/>
    <row r="175" ht="15" hidden="1" outlineLevel="1" x14ac:dyDescent="0.25"/>
    <row r="176" ht="15" hidden="1" outlineLevel="1" x14ac:dyDescent="0.25"/>
    <row r="177" ht="15" hidden="1" outlineLevel="1" x14ac:dyDescent="0.25"/>
    <row r="178" ht="15" hidden="1" outlineLevel="1" x14ac:dyDescent="0.25"/>
    <row r="179" ht="15" hidden="1" outlineLevel="1" x14ac:dyDescent="0.25"/>
    <row r="180" ht="14.25" hidden="1" customHeight="1" outlineLevel="1" x14ac:dyDescent="0.25"/>
    <row r="181" ht="15" hidden="1" outlineLevel="1" x14ac:dyDescent="0.25"/>
    <row r="182" ht="14.45" hidden="1" customHeight="1" collapsed="1" x14ac:dyDescent="0.25"/>
    <row r="184" ht="15" hidden="1" customHeight="1" outlineLevel="1" x14ac:dyDescent="0.25"/>
    <row r="185" ht="15" hidden="1" outlineLevel="1" x14ac:dyDescent="0.25"/>
    <row r="186" ht="15" hidden="1" outlineLevel="1" x14ac:dyDescent="0.25"/>
    <row r="187" ht="15" hidden="1" outlineLevel="1" x14ac:dyDescent="0.25"/>
    <row r="188" ht="15" hidden="1" outlineLevel="1" x14ac:dyDescent="0.25"/>
    <row r="189" ht="15" hidden="1" outlineLevel="1" x14ac:dyDescent="0.25"/>
    <row r="190" ht="15" hidden="1" outlineLevel="1" x14ac:dyDescent="0.25"/>
    <row r="191" ht="14.45" hidden="1" customHeight="1" collapsed="1" x14ac:dyDescent="0.25"/>
    <row r="193" ht="15" hidden="1" customHeight="1" outlineLevel="1" x14ac:dyDescent="0.25"/>
    <row r="194" ht="15" hidden="1" outlineLevel="1" x14ac:dyDescent="0.25"/>
    <row r="195" ht="15" hidden="1" outlineLevel="1" x14ac:dyDescent="0.25"/>
    <row r="196" ht="15" hidden="1" outlineLevel="1" x14ac:dyDescent="0.25"/>
    <row r="197" ht="15" hidden="1" outlineLevel="1" x14ac:dyDescent="0.25"/>
    <row r="198" ht="15" hidden="1" outlineLevel="1" x14ac:dyDescent="0.25"/>
    <row r="199" ht="15" hidden="1" outlineLevel="1" x14ac:dyDescent="0.25"/>
    <row r="200" ht="15" hidden="1" outlineLevel="1" x14ac:dyDescent="0.25"/>
    <row r="201" ht="15" hidden="1" outlineLevel="1" x14ac:dyDescent="0.25"/>
    <row r="202" ht="15" hidden="1" outlineLevel="1" x14ac:dyDescent="0.25"/>
    <row r="203" ht="15" hidden="1" outlineLevel="1" x14ac:dyDescent="0.25"/>
    <row r="204" ht="15" hidden="1" outlineLevel="1" x14ac:dyDescent="0.25"/>
    <row r="205" ht="15" hidden="1" outlineLevel="1" x14ac:dyDescent="0.25"/>
    <row r="206" ht="15" hidden="1" outlineLevel="1" x14ac:dyDescent="0.25"/>
    <row r="207" ht="15" hidden="1" outlineLevel="1" x14ac:dyDescent="0.25"/>
    <row r="208" ht="15" hidden="1" outlineLevel="1" x14ac:dyDescent="0.25"/>
    <row r="209" ht="15" hidden="1" outlineLevel="1" x14ac:dyDescent="0.25"/>
    <row r="210" ht="15" hidden="1" outlineLevel="1" x14ac:dyDescent="0.25"/>
    <row r="211" ht="15" hidden="1" outlineLevel="1" x14ac:dyDescent="0.25"/>
    <row r="212" ht="15" hidden="1" outlineLevel="1" x14ac:dyDescent="0.25"/>
    <row r="213" ht="15" hidden="1" outlineLevel="1" x14ac:dyDescent="0.25"/>
    <row r="214" ht="15" hidden="1" outlineLevel="1" x14ac:dyDescent="0.25"/>
    <row r="215" ht="15" hidden="1" outlineLevel="1" x14ac:dyDescent="0.25"/>
    <row r="216" ht="15" hidden="1" outlineLevel="1" x14ac:dyDescent="0.25"/>
    <row r="217" ht="15" hidden="1" outlineLevel="1" x14ac:dyDescent="0.25"/>
    <row r="218" ht="14.45" hidden="1" customHeight="1" collapsed="1" x14ac:dyDescent="0.25"/>
    <row r="220" ht="15" hidden="1" outlineLevel="1" x14ac:dyDescent="0.25"/>
    <row r="221" ht="15" hidden="1" outlineLevel="1" x14ac:dyDescent="0.25"/>
    <row r="222" ht="15" hidden="1" outlineLevel="1" x14ac:dyDescent="0.25"/>
    <row r="223" ht="15" hidden="1" outlineLevel="1" x14ac:dyDescent="0.25"/>
    <row r="224" ht="15" hidden="1" outlineLevel="1" x14ac:dyDescent="0.25"/>
    <row r="225" ht="15" hidden="1" outlineLevel="1" x14ac:dyDescent="0.25"/>
    <row r="226" ht="15" hidden="1" outlineLevel="1" x14ac:dyDescent="0.25"/>
    <row r="227" ht="15" hidden="1" outlineLevel="1" x14ac:dyDescent="0.25"/>
    <row r="228" ht="14.45" hidden="1" customHeight="1" collapsed="1" x14ac:dyDescent="0.25"/>
    <row r="575" ht="107.65" hidden="1" customHeight="1" x14ac:dyDescent="0.25"/>
  </sheetData>
  <sheetProtection selectLockedCells="1"/>
  <mergeCells count="182">
    <mergeCell ref="AC35:AD35"/>
    <mergeCell ref="AC36:AD36"/>
    <mergeCell ref="AC37:AD37"/>
    <mergeCell ref="AC38:AD38"/>
    <mergeCell ref="AC39:AD39"/>
    <mergeCell ref="AK16:AL16"/>
    <mergeCell ref="AK17:AL17"/>
    <mergeCell ref="AK18:AL18"/>
    <mergeCell ref="AK19:AL19"/>
    <mergeCell ref="AK27:AL27"/>
    <mergeCell ref="AK28:AL28"/>
    <mergeCell ref="AK29:AL29"/>
    <mergeCell ref="AK30:AL30"/>
    <mergeCell ref="AK31:AL31"/>
    <mergeCell ref="AK32:AL32"/>
    <mergeCell ref="AK33:AL33"/>
    <mergeCell ref="AC30:AD30"/>
    <mergeCell ref="AC31:AD31"/>
    <mergeCell ref="AC32:AD32"/>
    <mergeCell ref="AC33:AD33"/>
    <mergeCell ref="AC34:AD34"/>
    <mergeCell ref="AC16:AD16"/>
    <mergeCell ref="AS38:AT38"/>
    <mergeCell ref="AS39:AT39"/>
    <mergeCell ref="AS35:AT35"/>
    <mergeCell ref="AK34:AL34"/>
    <mergeCell ref="AK35:AL35"/>
    <mergeCell ref="AK36:AL36"/>
    <mergeCell ref="AK37:AL37"/>
    <mergeCell ref="AK38:AL38"/>
    <mergeCell ref="AK39:AL39"/>
    <mergeCell ref="AK40:AL40"/>
    <mergeCell ref="AS20:AT20"/>
    <mergeCell ref="AS21:AT21"/>
    <mergeCell ref="AS22:AT22"/>
    <mergeCell ref="AS23:AT23"/>
    <mergeCell ref="AS24:AT24"/>
    <mergeCell ref="AS25:AT25"/>
    <mergeCell ref="AS26:AT26"/>
    <mergeCell ref="AS28:AT28"/>
    <mergeCell ref="AS29:AT29"/>
    <mergeCell ref="AS30:AT30"/>
    <mergeCell ref="AS31:AT31"/>
    <mergeCell ref="AS32:AT32"/>
    <mergeCell ref="AS33:AT33"/>
    <mergeCell ref="AS34:AT34"/>
    <mergeCell ref="AS36:AT36"/>
    <mergeCell ref="AS37:AT37"/>
    <mergeCell ref="AK20:AL20"/>
    <mergeCell ref="AK21:AL21"/>
    <mergeCell ref="AK22:AL22"/>
    <mergeCell ref="AK23:AL23"/>
    <mergeCell ref="AK24:AL24"/>
    <mergeCell ref="AK25:AL25"/>
    <mergeCell ref="AK26:AL26"/>
    <mergeCell ref="BA8:BB8"/>
    <mergeCell ref="BA9:BB9"/>
    <mergeCell ref="BA10:BB10"/>
    <mergeCell ref="BA11:BB11"/>
    <mergeCell ref="BA12:BB12"/>
    <mergeCell ref="BA13:BB13"/>
    <mergeCell ref="BA14:BB14"/>
    <mergeCell ref="BA15:BB15"/>
    <mergeCell ref="BA16:BB16"/>
    <mergeCell ref="BA26:BB26"/>
    <mergeCell ref="BA17:BB17"/>
    <mergeCell ref="BA18:BB18"/>
    <mergeCell ref="BA19:BB19"/>
    <mergeCell ref="BA20:BB20"/>
    <mergeCell ref="AC26:AD26"/>
    <mergeCell ref="AC27:AD27"/>
    <mergeCell ref="AC28:AD28"/>
    <mergeCell ref="AC29:AD29"/>
    <mergeCell ref="AC21:AD21"/>
    <mergeCell ref="AC22:AD22"/>
    <mergeCell ref="AC23:AD23"/>
    <mergeCell ref="AC24:AD24"/>
    <mergeCell ref="AC25:AD25"/>
    <mergeCell ref="BA21:BB21"/>
    <mergeCell ref="BA22:BB22"/>
    <mergeCell ref="BA23:BB23"/>
    <mergeCell ref="BA24:BB24"/>
    <mergeCell ref="BA25:BB25"/>
    <mergeCell ref="AC17:AD17"/>
    <mergeCell ref="AC18:AD18"/>
    <mergeCell ref="AC19:AD19"/>
    <mergeCell ref="AC20:AD20"/>
    <mergeCell ref="AK14:AL14"/>
    <mergeCell ref="AC4:AD4"/>
    <mergeCell ref="AK4:AL4"/>
    <mergeCell ref="AC5:AD5"/>
    <mergeCell ref="AK5:AL5"/>
    <mergeCell ref="AC6:AD6"/>
    <mergeCell ref="AK6:AL6"/>
    <mergeCell ref="AC7:AD7"/>
    <mergeCell ref="AK7:AL7"/>
    <mergeCell ref="AC8:AD8"/>
    <mergeCell ref="AK8:AL8"/>
    <mergeCell ref="J3:M3"/>
    <mergeCell ref="O3:Q3"/>
    <mergeCell ref="W3:Y3"/>
    <mergeCell ref="S3:U3"/>
    <mergeCell ref="J11:K11"/>
    <mergeCell ref="J8:K8"/>
    <mergeCell ref="J9:K9"/>
    <mergeCell ref="J6:K6"/>
    <mergeCell ref="J7:K7"/>
    <mergeCell ref="J10:K10"/>
    <mergeCell ref="J4:K4"/>
    <mergeCell ref="J5:K5"/>
    <mergeCell ref="J27:K27"/>
    <mergeCell ref="J28:K28"/>
    <mergeCell ref="J33:K33"/>
    <mergeCell ref="J34:K34"/>
    <mergeCell ref="J31:K31"/>
    <mergeCell ref="J32:K32"/>
    <mergeCell ref="AS7:AT7"/>
    <mergeCell ref="AS8:AT8"/>
    <mergeCell ref="J18:K18"/>
    <mergeCell ref="J19:K19"/>
    <mergeCell ref="J16:K16"/>
    <mergeCell ref="J17:K17"/>
    <mergeCell ref="J20:K20"/>
    <mergeCell ref="J21:K21"/>
    <mergeCell ref="J22:K22"/>
    <mergeCell ref="J25:K25"/>
    <mergeCell ref="J26:K26"/>
    <mergeCell ref="J23:K23"/>
    <mergeCell ref="J24:K24"/>
    <mergeCell ref="J15:K15"/>
    <mergeCell ref="J12:K12"/>
    <mergeCell ref="J13:K13"/>
    <mergeCell ref="J14:K14"/>
    <mergeCell ref="AK12:AL12"/>
    <mergeCell ref="F3:F4"/>
    <mergeCell ref="F6:F7"/>
    <mergeCell ref="AS14:AT14"/>
    <mergeCell ref="AS15:AT15"/>
    <mergeCell ref="AS10:AT10"/>
    <mergeCell ref="AS11:AT11"/>
    <mergeCell ref="AS12:AT12"/>
    <mergeCell ref="AS9:AT9"/>
    <mergeCell ref="J40:K40"/>
    <mergeCell ref="AS4:AT4"/>
    <mergeCell ref="AS5:AT5"/>
    <mergeCell ref="AS6:AT6"/>
    <mergeCell ref="J35:K35"/>
    <mergeCell ref="J36:K36"/>
    <mergeCell ref="J37:K37"/>
    <mergeCell ref="J38:K38"/>
    <mergeCell ref="J39:K39"/>
    <mergeCell ref="AC40:AD40"/>
    <mergeCell ref="AS19:AT19"/>
    <mergeCell ref="AS16:AT16"/>
    <mergeCell ref="AS17:AT17"/>
    <mergeCell ref="AS18:AT18"/>
    <mergeCell ref="J29:K29"/>
    <mergeCell ref="J30:K30"/>
    <mergeCell ref="S34:W34"/>
    <mergeCell ref="S36:W36"/>
    <mergeCell ref="S38:X40"/>
    <mergeCell ref="AS3:AY3"/>
    <mergeCell ref="BA3:BG3"/>
    <mergeCell ref="BA4:BB4"/>
    <mergeCell ref="BA5:BB5"/>
    <mergeCell ref="BA6:BB6"/>
    <mergeCell ref="BA7:BB7"/>
    <mergeCell ref="AS13:AT13"/>
    <mergeCell ref="AC13:AD13"/>
    <mergeCell ref="AK13:AL13"/>
    <mergeCell ref="AC15:AD15"/>
    <mergeCell ref="AK15:AL15"/>
    <mergeCell ref="AC3:AI3"/>
    <mergeCell ref="AK3:AQ3"/>
    <mergeCell ref="AC9:AD9"/>
    <mergeCell ref="AK9:AL9"/>
    <mergeCell ref="AC10:AD10"/>
    <mergeCell ref="AK10:AL10"/>
    <mergeCell ref="AC11:AD11"/>
    <mergeCell ref="AK11:AL11"/>
    <mergeCell ref="AC12:AD12"/>
    <mergeCell ref="AC14:AD14"/>
  </mergeCells>
  <phoneticPr fontId="4" type="noConversion"/>
  <pageMargins left="0.19685039370078741" right="0.19685039370078741" top="0.39370078740157483" bottom="0.39370078740157483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2D0C4871-E49B-441A-94D6-AC4E06D93D52}">
          <x14:formula1>
            <xm:f>Lista_suspensa!$E$2:$E$9</xm:f>
          </x14:formula1>
          <xm:sqref>D7</xm:sqref>
        </x14:dataValidation>
        <x14:dataValidation type="list" allowBlank="1" showInputMessage="1" showErrorMessage="1" xr:uid="{A2385029-D0D4-4F30-8BFD-A1988B292467}">
          <x14:formula1>
            <xm:f>Lista_suspensa!$G$2:$G$13</xm:f>
          </x14:formula1>
          <xm:sqref>D6</xm:sqref>
        </x14:dataValidation>
        <x14:dataValidation type="list" allowBlank="1" showInputMessage="1" showErrorMessage="1" xr:uid="{180B4B5A-115F-4297-9AD1-0E91E89C402C}">
          <x14:formula1>
            <xm:f>Lista_suspensa!$I$2:$I$142</xm:f>
          </x14:formula1>
          <xm:sqref>D4</xm:sqref>
        </x14:dataValidation>
        <x14:dataValidation type="list" allowBlank="1" showInputMessage="1" showErrorMessage="1" xr:uid="{B02E428B-5381-4D20-8376-5B010850601F}">
          <x14:formula1>
            <xm:f>Lista_suspensa!$L$2:$L$5</xm:f>
          </x14:formula1>
          <xm:sqref>F11:F16 U17:U18 Y17:Z18</xm:sqref>
        </x14:dataValidation>
        <x14:dataValidation type="list" allowBlank="1" showInputMessage="1" showErrorMessage="1" xr:uid="{45D91C69-7205-44D4-925C-4DF437E00D7B}">
          <x14:formula1>
            <xm:f>Lista_suspensa!$L$8:$L$17</xm:f>
          </x14:formula1>
          <xm:sqref>V29:V32</xm:sqref>
        </x14:dataValidation>
        <x14:dataValidation type="list" allowBlank="1" showInputMessage="1" showErrorMessage="1" xr:uid="{17765CCD-D251-44E3-B907-F83C064AE673}">
          <x14:formula1>
            <xm:f>Lista_suspensa!$L$20:$L$29</xm:f>
          </x14:formula1>
          <xm:sqref>T29:T32</xm:sqref>
        </x14:dataValidation>
        <x14:dataValidation type="list" allowBlank="1" showInputMessage="1" showErrorMessage="1" xr:uid="{970D5828-CC70-43E2-AA2C-58772C7F5742}">
          <x14:formula1>
            <xm:f>Lista_suspensa!$A$17:$A$18</xm:f>
          </x14:formula1>
          <xm:sqref>U29:U32</xm:sqref>
        </x14:dataValidation>
        <x14:dataValidation type="list" allowBlank="1" showInputMessage="1" showErrorMessage="1" xr:uid="{8FDBB75B-6529-4749-B3B8-A8710154CE5A}">
          <x14:formula1>
            <xm:f>Lista_suspensa!$N$2:$N$5</xm:f>
          </x14:formula1>
          <xm:sqref>C37:C39</xm:sqref>
        </x14:dataValidation>
        <x14:dataValidation type="list" allowBlank="1" showInputMessage="1" showErrorMessage="1" xr:uid="{0DFC2CE2-DEDC-4D1B-865B-CCF3394E9AA5}">
          <x14:formula1>
            <xm:f>Lista_suspensa!$AD$2:$AD$37</xm:f>
          </x14:formula1>
          <xm:sqref>J5:K39</xm:sqref>
        </x14:dataValidation>
        <x14:dataValidation type="list" allowBlank="1" showInputMessage="1" showErrorMessage="1" xr:uid="{D2A17ED0-DBDD-4306-B459-84227C49BFD7}">
          <x14:formula1>
            <xm:f>Lista_suspensa!$AJ$2:$AJ$28</xm:f>
          </x14:formula1>
          <xm:sqref>O5:O39</xm:sqref>
        </x14:dataValidation>
        <x14:dataValidation type="list" allowBlank="1" showInputMessage="1" showErrorMessage="1" xr:uid="{24236716-D69A-43B5-98F1-C514A62434DA}">
          <x14:formula1>
            <xm:f>Lista_suspensa!$W$2:$W$14</xm:f>
          </x14:formula1>
          <xm:sqref>S5:S25</xm:sqref>
        </x14:dataValidation>
        <x14:dataValidation type="list" allowBlank="1" showInputMessage="1" showErrorMessage="1" xr:uid="{5D65D520-F44D-4514-886E-9E3D4A5C9FA9}">
          <x14:formula1>
            <xm:f>Lista_suspensa!$P$2:$P$37</xm:f>
          </x14:formula1>
          <xm:sqref>W5:W25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4CAF-88FA-4ADE-8CAD-FBBE83EE8A5C}">
  <dimension ref="A1:AC41"/>
  <sheetViews>
    <sheetView showGridLines="0" topLeftCell="I4" workbookViewId="0">
      <selection activeCell="S8" sqref="S8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41">
        <v>13</v>
      </c>
      <c r="E5" s="133"/>
      <c r="F5" s="133"/>
      <c r="G5" s="293" t="s">
        <v>29</v>
      </c>
      <c r="H5" s="134">
        <v>2</v>
      </c>
      <c r="I5" s="134" t="s">
        <v>327</v>
      </c>
      <c r="J5" s="90">
        <v>3000</v>
      </c>
      <c r="K5" s="234">
        <f>IF(I5="@",J5*H5*(Cadastro!E19/15)*0.5,J5*H5)</f>
        <v>6000</v>
      </c>
      <c r="L5" s="235"/>
      <c r="M5" s="90">
        <v>0</v>
      </c>
      <c r="N5" s="59"/>
      <c r="P5" s="56"/>
      <c r="Q5" s="512" t="s">
        <v>211</v>
      </c>
      <c r="R5" s="513"/>
      <c r="S5" s="90">
        <v>200</v>
      </c>
      <c r="T5" s="58"/>
      <c r="U5" s="247" t="s">
        <v>397</v>
      </c>
      <c r="V5" s="90">
        <v>150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40">
        <v>15</v>
      </c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1500</v>
      </c>
      <c r="T6" s="58"/>
      <c r="U6" s="136" t="s">
        <v>394</v>
      </c>
      <c r="V6" s="90">
        <v>100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40">
        <v>15</v>
      </c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500</v>
      </c>
      <c r="T7" s="58"/>
      <c r="U7" s="136" t="s">
        <v>401</v>
      </c>
      <c r="V7" s="90">
        <v>50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40">
        <v>15</v>
      </c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500</v>
      </c>
      <c r="T8" s="58"/>
      <c r="U8" s="136" t="s">
        <v>402</v>
      </c>
      <c r="V8" s="90">
        <v>12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40">
        <v>15</v>
      </c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10</v>
      </c>
      <c r="T9" s="58"/>
      <c r="U9" s="136" t="s">
        <v>402</v>
      </c>
      <c r="V9" s="90">
        <v>112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69">
        <v>13</v>
      </c>
      <c r="E10" s="133"/>
      <c r="F10" s="133"/>
      <c r="G10" s="296" t="s">
        <v>34</v>
      </c>
      <c r="H10" s="138">
        <v>2</v>
      </c>
      <c r="I10" s="138" t="s">
        <v>327</v>
      </c>
      <c r="J10" s="143">
        <v>5000</v>
      </c>
      <c r="K10" s="199">
        <f>IF(I10="@",J10*H10*(Cadastro!E24/15)*0.5,J10*H10)</f>
        <v>10000</v>
      </c>
      <c r="L10" s="139"/>
      <c r="M10" s="90">
        <v>0</v>
      </c>
      <c r="N10" s="59"/>
      <c r="P10" s="56"/>
      <c r="Q10" s="479" t="s">
        <v>215</v>
      </c>
      <c r="R10" s="480"/>
      <c r="S10" s="90">
        <v>120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1">
        <f>SUM(D5:D10)</f>
        <v>86</v>
      </c>
      <c r="E11" s="133"/>
      <c r="F11" s="133"/>
      <c r="G11" s="172"/>
      <c r="H11" s="133"/>
      <c r="I11" s="133"/>
      <c r="J11" s="92"/>
      <c r="K11" s="172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123</v>
      </c>
      <c r="T11" s="58"/>
      <c r="U11" s="136" t="s">
        <v>402</v>
      </c>
      <c r="V11" s="90">
        <v>1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72"/>
      <c r="D12" s="172"/>
      <c r="E12" s="172"/>
      <c r="F12" s="172"/>
      <c r="G12" s="64"/>
      <c r="H12" s="172"/>
      <c r="I12" s="172"/>
      <c r="J12" s="172"/>
      <c r="K12" s="172"/>
      <c r="L12" s="172"/>
      <c r="M12" s="172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250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361">
        <v>15</v>
      </c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362">
        <v>15</v>
      </c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52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362">
        <v>15</v>
      </c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1500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362">
        <v>15</v>
      </c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362">
        <v>15</v>
      </c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72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363">
        <v>15</v>
      </c>
      <c r="E19" s="141"/>
      <c r="F19" s="141"/>
      <c r="G19" s="296" t="s">
        <v>37</v>
      </c>
      <c r="H19" s="142"/>
      <c r="I19" s="142"/>
      <c r="J19" s="143">
        <v>0</v>
      </c>
      <c r="K19" s="199">
        <f>IF(I19="@",J19*H19*(Cadastro!E33/15)*0.5,J19*H19)</f>
        <v>0</v>
      </c>
      <c r="L19" s="142"/>
      <c r="M19" s="143">
        <v>0</v>
      </c>
      <c r="N19" s="59"/>
      <c r="P19" s="56"/>
      <c r="Q19" s="104"/>
      <c r="R19" s="104"/>
      <c r="S19" s="104"/>
      <c r="T19" s="172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364">
        <f>SUM(D14:D19)</f>
        <v>90</v>
      </c>
      <c r="E20" s="141"/>
      <c r="F20" s="141"/>
      <c r="G20" s="172"/>
      <c r="H20" s="133"/>
      <c r="I20" s="133"/>
      <c r="J20" s="91"/>
      <c r="K20" s="172"/>
      <c r="L20" s="133"/>
      <c r="M20" s="289">
        <f>M14*L14+M15*L15+M16*L16+M17*L17+M18*L18+M19*L19</f>
        <v>0</v>
      </c>
      <c r="N20" s="59"/>
      <c r="P20" s="56"/>
      <c r="Q20" s="507" t="s">
        <v>511</v>
      </c>
      <c r="R20" s="508"/>
      <c r="S20" s="509"/>
      <c r="T20" s="172"/>
      <c r="U20" s="136"/>
      <c r="V20" s="90">
        <v>0</v>
      </c>
      <c r="W20" s="172"/>
      <c r="X20" s="499"/>
      <c r="Y20" s="500"/>
      <c r="Z20" s="504"/>
      <c r="AA20" s="492"/>
      <c r="AB20" s="59"/>
    </row>
    <row r="21" spans="2:28" ht="15.75" thickBot="1" x14ac:dyDescent="0.3">
      <c r="B21" s="56"/>
      <c r="C21" s="172"/>
      <c r="D21" s="172"/>
      <c r="E21" s="172"/>
      <c r="F21" s="172"/>
      <c r="G21" s="64"/>
      <c r="H21" s="172"/>
      <c r="I21" s="172"/>
      <c r="J21" s="172"/>
      <c r="K21" s="172"/>
      <c r="L21" s="172"/>
      <c r="M21" s="172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1500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1750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>
        <v>1</v>
      </c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2000</v>
      </c>
      <c r="S24" s="309" t="s">
        <v>327</v>
      </c>
      <c r="T24" s="58"/>
      <c r="U24" s="136" t="s">
        <v>402</v>
      </c>
      <c r="V24" s="90">
        <v>1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>
        <v>3</v>
      </c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2500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2750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3500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358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>
        <v>1000</v>
      </c>
      <c r="E29" s="290">
        <v>1.8</v>
      </c>
      <c r="F29" s="359">
        <f>E29*D29</f>
        <v>1800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>
        <v>5000</v>
      </c>
      <c r="E30" s="291">
        <v>2</v>
      </c>
      <c r="F30" s="359">
        <f t="shared" ref="F30:F32" si="0">E30*D30</f>
        <v>10000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1500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>
        <v>10000</v>
      </c>
      <c r="E31" s="90">
        <v>2.1</v>
      </c>
      <c r="F31" s="359">
        <f t="shared" si="0"/>
        <v>21000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1750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2000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2500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72"/>
      <c r="D34" s="155">
        <f>SUM(D29:D33)</f>
        <v>16000</v>
      </c>
      <c r="E34" s="172"/>
      <c r="F34" s="155">
        <f>SUM(F29:F33)</f>
        <v>32800</v>
      </c>
      <c r="G34" s="172"/>
      <c r="H34" s="172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2750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72"/>
      <c r="D35" s="172"/>
      <c r="E35" s="172"/>
      <c r="F35" s="172"/>
      <c r="G35" s="172"/>
      <c r="H35" s="172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3500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72"/>
      <c r="H36" s="172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1500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1250</v>
      </c>
      <c r="S39" s="129" t="s">
        <v>327</v>
      </c>
      <c r="T39" s="58"/>
      <c r="U39" s="88" t="s">
        <v>27</v>
      </c>
      <c r="V39" s="268">
        <f>SUM(V5:V38)</f>
        <v>426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nRf7bGPva2kRAdIlMUSswnT9+NKh9/PE5swlRS1B2czn1o4YqnQdSpfCpyNr1BdOCtjNpCtwGH+iboWqcy6mXQ==" saltValue="9b9sh9U+idynhqZmljCvsg==" spinCount="100000" sheet="1" selectLockedCells="1"/>
  <mergeCells count="49">
    <mergeCell ref="Z25:AA25"/>
    <mergeCell ref="Z26:AA26"/>
    <mergeCell ref="Z27:AA27"/>
    <mergeCell ref="Z28:AA28"/>
    <mergeCell ref="Z29:AA29"/>
    <mergeCell ref="Z30:AA31"/>
    <mergeCell ref="X36:Y39"/>
    <mergeCell ref="X35:Y35"/>
    <mergeCell ref="Z35:AA35"/>
    <mergeCell ref="X32:Y34"/>
    <mergeCell ref="Z32:AA34"/>
    <mergeCell ref="Z36:AA36"/>
    <mergeCell ref="Z37:AA37"/>
    <mergeCell ref="Z38:AA38"/>
    <mergeCell ref="Z39:AA39"/>
    <mergeCell ref="U3:V3"/>
    <mergeCell ref="Q4:R4"/>
    <mergeCell ref="Q5:R5"/>
    <mergeCell ref="Q6:R6"/>
    <mergeCell ref="X3:AA4"/>
    <mergeCell ref="X5:Y10"/>
    <mergeCell ref="Z5:AA10"/>
    <mergeCell ref="Z16:AA18"/>
    <mergeCell ref="X19:Y24"/>
    <mergeCell ref="Z19:AA24"/>
    <mergeCell ref="Q18:R18"/>
    <mergeCell ref="Q20:S20"/>
    <mergeCell ref="Z13:AA15"/>
    <mergeCell ref="X11:Y12"/>
    <mergeCell ref="Z11:AA12"/>
    <mergeCell ref="Q7:R7"/>
    <mergeCell ref="Q15:R15"/>
    <mergeCell ref="Q14:R14"/>
    <mergeCell ref="X25:Y29"/>
    <mergeCell ref="X30:Y31"/>
    <mergeCell ref="C3:D3"/>
    <mergeCell ref="Q13:R13"/>
    <mergeCell ref="Q12:R12"/>
    <mergeCell ref="Q11:R11"/>
    <mergeCell ref="Q10:R10"/>
    <mergeCell ref="Q9:R9"/>
    <mergeCell ref="Q8:R8"/>
    <mergeCell ref="Q3:S3"/>
    <mergeCell ref="G3:K3"/>
    <mergeCell ref="L3:M3"/>
    <mergeCell ref="X13:Y15"/>
    <mergeCell ref="Q16:R16"/>
    <mergeCell ref="Q17:R17"/>
    <mergeCell ref="X16:Y18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3AA263-E287-4DD6-B610-A728A5434F77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6BCD4BDB-F3B0-4BDF-97AD-D71939850EC6}">
          <x14:formula1>
            <xm:f>Lista_suspensa!$E$30:$E$32</xm:f>
          </x14:formula1>
          <xm:sqref>I5:I10 I14:I19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9F30D-8A4F-432E-AE57-E3CD8CB766B6}">
  <dimension ref="A1:AC41"/>
  <sheetViews>
    <sheetView showGridLines="0" workbookViewId="0">
      <selection activeCell="D29" sqref="D29:E33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41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/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40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/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40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/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40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/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40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/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69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/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/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/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/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36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/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362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/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362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/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362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/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362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/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363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143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1234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1234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1234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1234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1234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1234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/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/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1234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/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1234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/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1234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/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1234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1234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1234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j9ngJjF9qxorPf8v7NalhvwwCT3Ey5LtVLgYdEmWdJdfktzVp3XS9Ku98n4+3nXLec5/NSSENYfLVTfd7doH0g==" saltValue="XHGgKWab/wkJM3HLYaoqnA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CF70C9-CB21-4A87-9BA4-46A7390BC57C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2E7E5C1A-DB05-45B0-903C-B8B23F70DC22}">
          <x14:formula1>
            <xm:f>Lista_suspensa!$A$21:$A$30</xm:f>
          </x14:formula1>
          <xm:sqref>U5:U38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2DBF-4C8A-4212-A24E-05141645F4B2}">
  <dimension ref="A1:AC41"/>
  <sheetViews>
    <sheetView showGridLines="0" workbookViewId="0">
      <selection activeCell="I8" sqref="I8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143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I7Qvzoq95/B+3CcE4v45rV7Cpglhg1x/dOH8ub6oZwfifO5yWlE7Fwssw1qcZYaqY1hevXrrBwB/eciwCzpo4Q==" saltValue="pmc9IpWgzi0A0EUZ1GvbIQ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C828BC-F892-494C-8BDC-CC78299716B4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7E144AE5-2D37-46F2-9F7A-7DF6D4972591}">
          <x14:formula1>
            <xm:f>Lista_suspensa!$A$21:$A$30</xm:f>
          </x14:formula1>
          <xm:sqref>U5:U38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5E51-0817-420F-A2BB-A0CA5F6D5AE6}">
  <dimension ref="A1:AC41"/>
  <sheetViews>
    <sheetView showGridLines="0" workbookViewId="0">
      <selection activeCell="F32" sqref="F32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2x3x8q5+7nl+5hi84HQ5pdB3TKtydF3dsmxyU7GoIAWixQX/X7qhRj9tul7OsAISDM2gAYqSlJ/VTmDhg3BnKw==" saltValue="/WKucdpqWjMLouJJIy8G9g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6C27DF-3EEF-4946-B0B0-78B4E29CDE95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954CBC29-D02C-4AC8-A9EB-D0D16E2D75B2}">
          <x14:formula1>
            <xm:f>Lista_suspensa!$E$30:$E$32</xm:f>
          </x14:formula1>
          <xm:sqref>I5:I10 I14:I19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DB28-090B-4277-91E2-4C40D55D9900}">
  <dimension ref="A1:AC41"/>
  <sheetViews>
    <sheetView showGridLines="0" workbookViewId="0">
      <selection activeCell="S5" sqref="S5:S18"/>
    </sheetView>
  </sheetViews>
  <sheetFormatPr defaultColWidth="0" defaultRowHeight="15" customHeight="1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90">
        <v>0</v>
      </c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90">
        <v>0</v>
      </c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90">
        <v>0</v>
      </c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90">
        <v>0</v>
      </c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90">
        <v>0</v>
      </c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90">
        <v>0</v>
      </c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90">
        <v>0</v>
      </c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90">
        <v>0</v>
      </c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90">
        <v>0</v>
      </c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90">
        <v>0</v>
      </c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90">
        <v>0</v>
      </c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90">
        <v>0</v>
      </c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90">
        <v>0</v>
      </c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90">
        <v>0</v>
      </c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238"/>
      <c r="K23" s="234">
        <f>J23*I23</f>
        <v>0</v>
      </c>
      <c r="L23" s="239"/>
      <c r="M23" s="240"/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144"/>
      <c r="K24" s="130">
        <f>J24*I24</f>
        <v>0</v>
      </c>
      <c r="L24" s="145"/>
      <c r="M24" s="146"/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148"/>
      <c r="K25" s="199">
        <f>J25*I25</f>
        <v>0</v>
      </c>
      <c r="L25" s="149"/>
      <c r="M25" s="150"/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jb+jT835FJUwGZoTWL2jYzEEDVU2OnwVVrGbvRa/lfbvudj5EAG44w7UcG329CyVucIQftSyOxTA+/2NH7VVmg==" saltValue="l/KcRJ9+P6VKDbORBfDm2Q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C77282-458C-4FD4-AAE1-B92524D0C153}">
          <x14:formula1>
            <xm:f>Lista_suspensa!$E$30:$E$32</xm:f>
          </x14:formula1>
          <xm:sqref>I5:I10 I14:I19</xm:sqref>
        </x14:dataValidation>
        <x14:dataValidation type="list" allowBlank="1" showInputMessage="1" showErrorMessage="1" xr:uid="{68085ED5-393C-4211-9667-6819BD46EB52}">
          <x14:formula1>
            <xm:f>Lista_suspensa!$A$21:$A$30</xm:f>
          </x14:formula1>
          <xm:sqref>U5:U38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6CB7-31FB-4088-9296-F7E1BF1751FD}">
  <dimension ref="A1:AC41"/>
  <sheetViews>
    <sheetView showGridLines="0" workbookViewId="0">
      <selection activeCell="R38" sqref="R38:R39"/>
    </sheetView>
  </sheetViews>
  <sheetFormatPr defaultColWidth="0" defaultRowHeight="15" zeroHeight="1" x14ac:dyDescent="0.25"/>
  <cols>
    <col min="1" max="1" width="0.5703125" style="48" customWidth="1"/>
    <col min="2" max="2" width="1.85546875" style="48" customWidth="1"/>
    <col min="3" max="3" width="18.140625" style="48" customWidth="1"/>
    <col min="4" max="4" width="18.140625" style="48" bestFit="1" customWidth="1"/>
    <col min="5" max="5" width="12.85546875" style="48" customWidth="1"/>
    <col min="6" max="6" width="15" style="48" customWidth="1"/>
    <col min="7" max="7" width="15.7109375" style="48" customWidth="1"/>
    <col min="8" max="8" width="11.7109375" style="48" customWidth="1"/>
    <col min="9" max="9" width="12" style="48" customWidth="1"/>
    <col min="10" max="10" width="16" style="48" bestFit="1" customWidth="1"/>
    <col min="11" max="11" width="17.42578125" style="48" bestFit="1" customWidth="1"/>
    <col min="12" max="12" width="14" style="48" customWidth="1"/>
    <col min="13" max="13" width="15.140625" style="48" bestFit="1" customWidth="1"/>
    <col min="14" max="14" width="1.140625" style="48" customWidth="1"/>
    <col min="15" max="16" width="1" style="48" customWidth="1"/>
    <col min="17" max="17" width="20" style="48" bestFit="1" customWidth="1"/>
    <col min="18" max="18" width="12.7109375" style="48" bestFit="1" customWidth="1"/>
    <col min="19" max="19" width="15.5703125" style="48" customWidth="1"/>
    <col min="20" max="20" width="0.85546875" style="48" customWidth="1"/>
    <col min="21" max="21" width="27.7109375" style="48" bestFit="1" customWidth="1"/>
    <col min="22" max="22" width="13.85546875" style="48" customWidth="1"/>
    <col min="23" max="23" width="1.140625" style="48" customWidth="1"/>
    <col min="24" max="24" width="9" style="48" customWidth="1"/>
    <col min="25" max="25" width="12.140625" style="48" customWidth="1"/>
    <col min="26" max="26" width="25.7109375" style="48" bestFit="1" customWidth="1"/>
    <col min="27" max="27" width="8.5703125" style="48" customWidth="1"/>
    <col min="28" max="29" width="1.28515625" style="48" customWidth="1"/>
    <col min="30" max="16384" width="9.140625" style="48" hidden="1"/>
  </cols>
  <sheetData>
    <row r="1" spans="2:28" ht="3.75" customHeight="1" thickBot="1" x14ac:dyDescent="0.3"/>
    <row r="2" spans="2:28" ht="15.75" thickBot="1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/>
    </row>
    <row r="3" spans="2:28" ht="15.75" thickBot="1" x14ac:dyDescent="0.3">
      <c r="B3" s="56"/>
      <c r="C3" s="447" t="s">
        <v>391</v>
      </c>
      <c r="D3" s="449"/>
      <c r="E3" s="60"/>
      <c r="F3" s="60"/>
      <c r="G3" s="481" t="s">
        <v>518</v>
      </c>
      <c r="H3" s="482"/>
      <c r="I3" s="482"/>
      <c r="J3" s="482"/>
      <c r="K3" s="482"/>
      <c r="L3" s="447" t="s">
        <v>390</v>
      </c>
      <c r="M3" s="449"/>
      <c r="N3" s="59"/>
      <c r="P3" s="56"/>
      <c r="Q3" s="447" t="s">
        <v>382</v>
      </c>
      <c r="R3" s="448"/>
      <c r="S3" s="449"/>
      <c r="T3" s="60"/>
      <c r="U3" s="510" t="s">
        <v>382</v>
      </c>
      <c r="V3" s="511"/>
      <c r="W3" s="60"/>
      <c r="X3" s="516" t="s">
        <v>404</v>
      </c>
      <c r="Y3" s="517"/>
      <c r="Z3" s="517"/>
      <c r="AA3" s="518"/>
      <c r="AB3" s="59"/>
    </row>
    <row r="4" spans="2:28" ht="15.75" thickBot="1" x14ac:dyDescent="0.3">
      <c r="B4" s="56"/>
      <c r="C4" s="292" t="s">
        <v>10</v>
      </c>
      <c r="D4" s="292" t="s">
        <v>317</v>
      </c>
      <c r="E4" s="64"/>
      <c r="F4" s="64"/>
      <c r="G4" s="297" t="s">
        <v>10</v>
      </c>
      <c r="H4" s="297" t="s">
        <v>317</v>
      </c>
      <c r="I4" s="298" t="s">
        <v>222</v>
      </c>
      <c r="J4" s="299" t="s">
        <v>223</v>
      </c>
      <c r="K4" s="300" t="s">
        <v>27</v>
      </c>
      <c r="L4" s="292" t="s">
        <v>317</v>
      </c>
      <c r="M4" s="301" t="s">
        <v>223</v>
      </c>
      <c r="N4" s="59"/>
      <c r="P4" s="56"/>
      <c r="Q4" s="447" t="s">
        <v>210</v>
      </c>
      <c r="R4" s="449"/>
      <c r="S4" s="306" t="s">
        <v>224</v>
      </c>
      <c r="T4" s="92"/>
      <c r="U4" s="236" t="s">
        <v>217</v>
      </c>
      <c r="V4" s="236" t="s">
        <v>224</v>
      </c>
      <c r="W4" s="64"/>
      <c r="X4" s="519"/>
      <c r="Y4" s="520"/>
      <c r="Z4" s="520"/>
      <c r="AA4" s="521"/>
      <c r="AB4" s="59"/>
    </row>
    <row r="5" spans="2:28" x14ac:dyDescent="0.25">
      <c r="B5" s="56"/>
      <c r="C5" s="293" t="s">
        <v>29</v>
      </c>
      <c r="D5" s="267"/>
      <c r="E5" s="133"/>
      <c r="F5" s="133"/>
      <c r="G5" s="293" t="s">
        <v>29</v>
      </c>
      <c r="H5" s="134"/>
      <c r="I5" s="134"/>
      <c r="J5" s="90">
        <v>0</v>
      </c>
      <c r="K5" s="234">
        <f>IF(I5="@",J5*H5*(Cadastro!E19/15)*0.5,J5*H5)</f>
        <v>0</v>
      </c>
      <c r="L5" s="235"/>
      <c r="M5" s="90">
        <v>0</v>
      </c>
      <c r="N5" s="59"/>
      <c r="P5" s="56"/>
      <c r="Q5" s="512" t="s">
        <v>211</v>
      </c>
      <c r="R5" s="513"/>
      <c r="S5" s="246"/>
      <c r="T5" s="58"/>
      <c r="U5" s="247"/>
      <c r="V5" s="90">
        <v>0</v>
      </c>
      <c r="W5" s="58"/>
      <c r="X5" s="522" t="s">
        <v>211</v>
      </c>
      <c r="Y5" s="523"/>
      <c r="Z5" s="504" t="s">
        <v>413</v>
      </c>
      <c r="AA5" s="492"/>
      <c r="AB5" s="59"/>
    </row>
    <row r="6" spans="2:28" x14ac:dyDescent="0.25">
      <c r="B6" s="56"/>
      <c r="C6" s="294" t="s">
        <v>30</v>
      </c>
      <c r="D6" s="132"/>
      <c r="E6" s="133"/>
      <c r="F6" s="133"/>
      <c r="G6" s="294" t="s">
        <v>30</v>
      </c>
      <c r="H6" s="137"/>
      <c r="I6" s="137"/>
      <c r="J6" s="90">
        <v>0</v>
      </c>
      <c r="K6" s="130">
        <f>IF(I6="@",J6*H6*(Cadastro!E20/15)*0.5,J6*H6)</f>
        <v>0</v>
      </c>
      <c r="L6" s="135"/>
      <c r="M6" s="90">
        <v>0</v>
      </c>
      <c r="N6" s="59"/>
      <c r="P6" s="56"/>
      <c r="Q6" s="514" t="s">
        <v>212</v>
      </c>
      <c r="R6" s="515"/>
      <c r="S6" s="158"/>
      <c r="T6" s="58"/>
      <c r="U6" s="136"/>
      <c r="V6" s="90">
        <v>0</v>
      </c>
      <c r="W6" s="58"/>
      <c r="X6" s="524"/>
      <c r="Y6" s="525"/>
      <c r="Z6" s="504"/>
      <c r="AA6" s="492"/>
      <c r="AB6" s="59"/>
    </row>
    <row r="7" spans="2:28" x14ac:dyDescent="0.25">
      <c r="B7" s="56"/>
      <c r="C7" s="294" t="s">
        <v>31</v>
      </c>
      <c r="D7" s="132"/>
      <c r="E7" s="133"/>
      <c r="F7" s="133"/>
      <c r="G7" s="294" t="s">
        <v>31</v>
      </c>
      <c r="H7" s="137"/>
      <c r="I7" s="137"/>
      <c r="J7" s="90">
        <v>0</v>
      </c>
      <c r="K7" s="130">
        <f>IF(I7="@",J7*H7*(Cadastro!E21/15)*0.5,J7*H7)</f>
        <v>0</v>
      </c>
      <c r="L7" s="135"/>
      <c r="M7" s="90">
        <v>0</v>
      </c>
      <c r="N7" s="59"/>
      <c r="P7" s="56"/>
      <c r="Q7" s="479" t="s">
        <v>9</v>
      </c>
      <c r="R7" s="480"/>
      <c r="S7" s="158"/>
      <c r="T7" s="58"/>
      <c r="U7" s="136"/>
      <c r="V7" s="90">
        <v>0</v>
      </c>
      <c r="W7" s="58"/>
      <c r="X7" s="524"/>
      <c r="Y7" s="525"/>
      <c r="Z7" s="504"/>
      <c r="AA7" s="492"/>
      <c r="AB7" s="59"/>
    </row>
    <row r="8" spans="2:28" x14ac:dyDescent="0.25">
      <c r="B8" s="56"/>
      <c r="C8" s="294" t="s">
        <v>32</v>
      </c>
      <c r="D8" s="132"/>
      <c r="E8" s="133"/>
      <c r="F8" s="133"/>
      <c r="G8" s="294" t="s">
        <v>32</v>
      </c>
      <c r="H8" s="137"/>
      <c r="I8" s="137"/>
      <c r="J8" s="90">
        <v>0</v>
      </c>
      <c r="K8" s="130">
        <f>IF(I8="@",J8*H8*(Cadastro!E22/15)*0.5,J8*H8)</f>
        <v>0</v>
      </c>
      <c r="L8" s="135"/>
      <c r="M8" s="90">
        <v>0</v>
      </c>
      <c r="N8" s="59"/>
      <c r="P8" s="56"/>
      <c r="Q8" s="479" t="s">
        <v>26</v>
      </c>
      <c r="R8" s="480"/>
      <c r="S8" s="158"/>
      <c r="T8" s="58"/>
      <c r="U8" s="136"/>
      <c r="V8" s="90">
        <v>0</v>
      </c>
      <c r="W8" s="58"/>
      <c r="X8" s="524"/>
      <c r="Y8" s="525"/>
      <c r="Z8" s="504"/>
      <c r="AA8" s="492"/>
      <c r="AB8" s="59"/>
    </row>
    <row r="9" spans="2:28" x14ac:dyDescent="0.25">
      <c r="B9" s="56"/>
      <c r="C9" s="294" t="s">
        <v>33</v>
      </c>
      <c r="D9" s="132"/>
      <c r="E9" s="133"/>
      <c r="F9" s="133"/>
      <c r="G9" s="294" t="s">
        <v>33</v>
      </c>
      <c r="H9" s="137"/>
      <c r="I9" s="137"/>
      <c r="J9" s="90">
        <v>0</v>
      </c>
      <c r="K9" s="130">
        <f>IF(I9="@",J9*H9*(Cadastro!E23/15)*0.5,J9*H9)</f>
        <v>0</v>
      </c>
      <c r="L9" s="135"/>
      <c r="M9" s="90">
        <v>0</v>
      </c>
      <c r="N9" s="59"/>
      <c r="P9" s="56"/>
      <c r="Q9" s="479" t="s">
        <v>214</v>
      </c>
      <c r="R9" s="480"/>
      <c r="S9" s="158"/>
      <c r="T9" s="58"/>
      <c r="U9" s="136"/>
      <c r="V9" s="90">
        <v>0</v>
      </c>
      <c r="W9" s="58"/>
      <c r="X9" s="524"/>
      <c r="Y9" s="525"/>
      <c r="Z9" s="504"/>
      <c r="AA9" s="492"/>
      <c r="AB9" s="59"/>
    </row>
    <row r="10" spans="2:28" ht="15.75" thickBot="1" x14ac:dyDescent="0.3">
      <c r="B10" s="56"/>
      <c r="C10" s="295" t="s">
        <v>34</v>
      </c>
      <c r="D10" s="272"/>
      <c r="E10" s="133"/>
      <c r="F10" s="133"/>
      <c r="G10" s="296" t="s">
        <v>34</v>
      </c>
      <c r="H10" s="138"/>
      <c r="I10" s="138"/>
      <c r="J10" s="90">
        <v>0</v>
      </c>
      <c r="K10" s="199">
        <f>IF(I10="@",J10*H10*(Cadastro!E24/15)*0.5,J10*H10)</f>
        <v>0</v>
      </c>
      <c r="L10" s="139"/>
      <c r="M10" s="90">
        <v>0</v>
      </c>
      <c r="N10" s="59"/>
      <c r="P10" s="56"/>
      <c r="Q10" s="479" t="s">
        <v>215</v>
      </c>
      <c r="R10" s="480"/>
      <c r="S10" s="158"/>
      <c r="T10" s="58"/>
      <c r="U10" s="136"/>
      <c r="V10" s="90">
        <v>0</v>
      </c>
      <c r="W10" s="58"/>
      <c r="X10" s="524"/>
      <c r="Y10" s="525"/>
      <c r="Z10" s="526"/>
      <c r="AA10" s="494"/>
      <c r="AB10" s="59"/>
    </row>
    <row r="11" spans="2:28" ht="15.75" thickBot="1" x14ac:dyDescent="0.3">
      <c r="B11" s="56"/>
      <c r="C11" s="195" t="s">
        <v>27</v>
      </c>
      <c r="D11" s="273">
        <f>SUM(D5:D10)</f>
        <v>0</v>
      </c>
      <c r="E11" s="133"/>
      <c r="F11" s="133"/>
      <c r="G11" s="196"/>
      <c r="H11" s="133"/>
      <c r="I11" s="133"/>
      <c r="J11" s="92"/>
      <c r="K11" s="196"/>
      <c r="L11" s="133"/>
      <c r="M11" s="155">
        <f>M5*L5+M6*L6+M7*L7+M8*L8+M9*L9+M10*L10</f>
        <v>0</v>
      </c>
      <c r="N11" s="59"/>
      <c r="P11" s="56"/>
      <c r="Q11" s="479" t="s">
        <v>216</v>
      </c>
      <c r="R11" s="480"/>
      <c r="S11" s="158"/>
      <c r="T11" s="58"/>
      <c r="U11" s="136"/>
      <c r="V11" s="90">
        <v>0</v>
      </c>
      <c r="W11" s="58"/>
      <c r="X11" s="473" t="s">
        <v>212</v>
      </c>
      <c r="Y11" s="474"/>
      <c r="Z11" s="495" t="s">
        <v>405</v>
      </c>
      <c r="AA11" s="496"/>
      <c r="AB11" s="59"/>
    </row>
    <row r="12" spans="2:28" ht="15.75" thickBot="1" x14ac:dyDescent="0.3">
      <c r="B12" s="56"/>
      <c r="C12" s="196"/>
      <c r="D12" s="196"/>
      <c r="E12" s="196"/>
      <c r="F12" s="196"/>
      <c r="G12" s="64"/>
      <c r="H12" s="196"/>
      <c r="I12" s="196"/>
      <c r="J12" s="196"/>
      <c r="K12" s="196"/>
      <c r="L12" s="196"/>
      <c r="M12" s="196"/>
      <c r="N12" s="59"/>
      <c r="P12" s="56"/>
      <c r="Q12" s="479" t="s">
        <v>218</v>
      </c>
      <c r="R12" s="480"/>
      <c r="S12" s="158"/>
      <c r="T12" s="58"/>
      <c r="U12" s="136"/>
      <c r="V12" s="90">
        <v>0</v>
      </c>
      <c r="W12" s="58"/>
      <c r="X12" s="473"/>
      <c r="Y12" s="474"/>
      <c r="Z12" s="495"/>
      <c r="AA12" s="496"/>
      <c r="AB12" s="59"/>
    </row>
    <row r="13" spans="2:28" ht="15.75" thickBot="1" x14ac:dyDescent="0.3">
      <c r="B13" s="56"/>
      <c r="C13" s="292" t="s">
        <v>11</v>
      </c>
      <c r="D13" s="301" t="s">
        <v>317</v>
      </c>
      <c r="E13" s="64"/>
      <c r="F13" s="64"/>
      <c r="G13" s="297" t="s">
        <v>11</v>
      </c>
      <c r="H13" s="297" t="s">
        <v>317</v>
      </c>
      <c r="I13" s="298" t="s">
        <v>222</v>
      </c>
      <c r="J13" s="299" t="s">
        <v>223</v>
      </c>
      <c r="K13" s="300" t="s">
        <v>27</v>
      </c>
      <c r="L13" s="292" t="s">
        <v>317</v>
      </c>
      <c r="M13" s="301" t="s">
        <v>223</v>
      </c>
      <c r="N13" s="59"/>
      <c r="P13" s="56"/>
      <c r="Q13" s="479" t="s">
        <v>15</v>
      </c>
      <c r="R13" s="480"/>
      <c r="S13" s="158"/>
      <c r="T13" s="58"/>
      <c r="U13" s="136"/>
      <c r="V13" s="90">
        <v>0</v>
      </c>
      <c r="W13" s="58"/>
      <c r="X13" s="475" t="s">
        <v>9</v>
      </c>
      <c r="Y13" s="476"/>
      <c r="Z13" s="489" t="s">
        <v>414</v>
      </c>
      <c r="AA13" s="490"/>
      <c r="AB13" s="59"/>
    </row>
    <row r="14" spans="2:28" x14ac:dyDescent="0.25">
      <c r="B14" s="56"/>
      <c r="C14" s="293" t="s">
        <v>29</v>
      </c>
      <c r="D14" s="241"/>
      <c r="E14" s="141"/>
      <c r="F14" s="141"/>
      <c r="G14" s="294" t="s">
        <v>29</v>
      </c>
      <c r="H14" s="78"/>
      <c r="I14" s="78"/>
      <c r="J14" s="90">
        <v>0</v>
      </c>
      <c r="K14" s="130">
        <f>IF(I14="@",J14*H14*(Cadastro!E28/15)*0.5,J14*H14)</f>
        <v>0</v>
      </c>
      <c r="L14" s="78"/>
      <c r="M14" s="90">
        <v>0</v>
      </c>
      <c r="N14" s="59"/>
      <c r="P14" s="56"/>
      <c r="Q14" s="479" t="s">
        <v>311</v>
      </c>
      <c r="R14" s="480"/>
      <c r="S14" s="158"/>
      <c r="T14" s="58"/>
      <c r="U14" s="136"/>
      <c r="V14" s="90">
        <v>0</v>
      </c>
      <c r="W14" s="58"/>
      <c r="X14" s="483"/>
      <c r="Y14" s="484"/>
      <c r="Z14" s="491"/>
      <c r="AA14" s="492"/>
      <c r="AB14" s="59"/>
    </row>
    <row r="15" spans="2:28" x14ac:dyDescent="0.25">
      <c r="B15" s="56"/>
      <c r="C15" s="294" t="s">
        <v>35</v>
      </c>
      <c r="D15" s="140"/>
      <c r="E15" s="141"/>
      <c r="F15" s="141"/>
      <c r="G15" s="294" t="s">
        <v>35</v>
      </c>
      <c r="H15" s="78"/>
      <c r="I15" s="78"/>
      <c r="J15" s="90">
        <v>0</v>
      </c>
      <c r="K15" s="130">
        <f>IF(I15="@",J15*H15*(Cadastro!E29/15)*0.5,J15*H15)</f>
        <v>0</v>
      </c>
      <c r="L15" s="78"/>
      <c r="M15" s="90">
        <v>0</v>
      </c>
      <c r="N15" s="59"/>
      <c r="P15" s="56"/>
      <c r="Q15" s="479" t="s">
        <v>312</v>
      </c>
      <c r="R15" s="480"/>
      <c r="S15" s="158"/>
      <c r="T15" s="58"/>
      <c r="U15" s="136"/>
      <c r="V15" s="90">
        <v>0</v>
      </c>
      <c r="W15" s="58"/>
      <c r="X15" s="477"/>
      <c r="Y15" s="478"/>
      <c r="Z15" s="493"/>
      <c r="AA15" s="494"/>
      <c r="AB15" s="59"/>
    </row>
    <row r="16" spans="2:28" x14ac:dyDescent="0.25">
      <c r="B16" s="56"/>
      <c r="C16" s="294" t="s">
        <v>31</v>
      </c>
      <c r="D16" s="140"/>
      <c r="E16" s="141"/>
      <c r="F16" s="141"/>
      <c r="G16" s="294" t="s">
        <v>31</v>
      </c>
      <c r="H16" s="78"/>
      <c r="I16" s="78"/>
      <c r="J16" s="90">
        <v>0</v>
      </c>
      <c r="K16" s="130">
        <f>IF(I16="@",J16*H16*(Cadastro!E30/15)*0.5,J16*H16)</f>
        <v>0</v>
      </c>
      <c r="L16" s="78"/>
      <c r="M16" s="90">
        <v>0</v>
      </c>
      <c r="N16" s="59"/>
      <c r="P16" s="56"/>
      <c r="Q16" s="485" t="s">
        <v>305</v>
      </c>
      <c r="R16" s="486"/>
      <c r="S16" s="158"/>
      <c r="T16" s="58"/>
      <c r="U16" s="136"/>
      <c r="V16" s="90">
        <v>0</v>
      </c>
      <c r="W16" s="58"/>
      <c r="X16" s="475" t="s">
        <v>26</v>
      </c>
      <c r="Y16" s="476"/>
      <c r="Z16" s="489" t="s">
        <v>414</v>
      </c>
      <c r="AA16" s="490"/>
      <c r="AB16" s="59"/>
    </row>
    <row r="17" spans="2:28" ht="15" customHeight="1" x14ac:dyDescent="0.25">
      <c r="B17" s="56"/>
      <c r="C17" s="294" t="s">
        <v>32</v>
      </c>
      <c r="D17" s="140"/>
      <c r="E17" s="141"/>
      <c r="F17" s="141"/>
      <c r="G17" s="294" t="s">
        <v>32</v>
      </c>
      <c r="H17" s="78"/>
      <c r="I17" s="78"/>
      <c r="J17" s="90">
        <v>0</v>
      </c>
      <c r="K17" s="130">
        <f>IF(I17="@",J17*H17*(Cadastro!E31/15)*0.5,J17*H17)</f>
        <v>0</v>
      </c>
      <c r="L17" s="78"/>
      <c r="M17" s="90">
        <v>0</v>
      </c>
      <c r="N17" s="59"/>
      <c r="P17" s="56"/>
      <c r="Q17" s="487" t="s">
        <v>431</v>
      </c>
      <c r="R17" s="488"/>
      <c r="S17" s="159"/>
      <c r="T17" s="58"/>
      <c r="U17" s="136"/>
      <c r="V17" s="90">
        <v>0</v>
      </c>
      <c r="W17" s="92"/>
      <c r="X17" s="483"/>
      <c r="Y17" s="484"/>
      <c r="Z17" s="491"/>
      <c r="AA17" s="492"/>
      <c r="AB17" s="59"/>
    </row>
    <row r="18" spans="2:28" ht="15.75" thickBot="1" x14ac:dyDescent="0.3">
      <c r="B18" s="56"/>
      <c r="C18" s="294" t="s">
        <v>36</v>
      </c>
      <c r="D18" s="140"/>
      <c r="E18" s="141"/>
      <c r="F18" s="141"/>
      <c r="G18" s="294" t="s">
        <v>36</v>
      </c>
      <c r="H18" s="78"/>
      <c r="I18" s="78"/>
      <c r="J18" s="90">
        <v>0</v>
      </c>
      <c r="K18" s="130">
        <f>IF(I18="@",J18*H18*(Cadastro!E32/15)*0.5,J18*H18)</f>
        <v>0</v>
      </c>
      <c r="L18" s="78"/>
      <c r="M18" s="90">
        <v>0</v>
      </c>
      <c r="N18" s="59"/>
      <c r="P18" s="56"/>
      <c r="Q18" s="505" t="s">
        <v>213</v>
      </c>
      <c r="R18" s="506"/>
      <c r="S18" s="233"/>
      <c r="T18" s="196"/>
      <c r="U18" s="136"/>
      <c r="V18" s="90">
        <v>0</v>
      </c>
      <c r="W18" s="92"/>
      <c r="X18" s="477"/>
      <c r="Y18" s="478"/>
      <c r="Z18" s="493"/>
      <c r="AA18" s="494"/>
      <c r="AB18" s="59"/>
    </row>
    <row r="19" spans="2:28" ht="15" customHeight="1" thickBot="1" x14ac:dyDescent="0.3">
      <c r="B19" s="56"/>
      <c r="C19" s="295" t="s">
        <v>37</v>
      </c>
      <c r="D19" s="269"/>
      <c r="E19" s="141"/>
      <c r="F19" s="141"/>
      <c r="G19" s="296" t="s">
        <v>37</v>
      </c>
      <c r="H19" s="142"/>
      <c r="I19" s="142"/>
      <c r="J19" s="90">
        <v>0</v>
      </c>
      <c r="K19" s="199">
        <f>IF(I19="@",J19*H19*(Cadastro!E33/15)*0.5,J19*H19)</f>
        <v>0</v>
      </c>
      <c r="L19" s="142"/>
      <c r="M19" s="90">
        <v>0</v>
      </c>
      <c r="N19" s="59"/>
      <c r="P19" s="56"/>
      <c r="Q19" s="104"/>
      <c r="R19" s="104"/>
      <c r="S19" s="104"/>
      <c r="T19" s="196"/>
      <c r="U19" s="136"/>
      <c r="V19" s="90">
        <v>0</v>
      </c>
      <c r="W19" s="92"/>
      <c r="X19" s="497" t="s">
        <v>214</v>
      </c>
      <c r="Y19" s="498"/>
      <c r="Z19" s="503" t="s">
        <v>406</v>
      </c>
      <c r="AA19" s="490"/>
      <c r="AB19" s="59"/>
    </row>
    <row r="20" spans="2:28" ht="16.5" thickBot="1" x14ac:dyDescent="0.3">
      <c r="B20" s="56"/>
      <c r="C20" s="195" t="s">
        <v>27</v>
      </c>
      <c r="D20" s="271">
        <f>SUM(D14:D19)</f>
        <v>0</v>
      </c>
      <c r="E20" s="141"/>
      <c r="F20" s="141"/>
      <c r="G20" s="196"/>
      <c r="H20" s="133"/>
      <c r="I20" s="133"/>
      <c r="J20" s="91"/>
      <c r="K20" s="196"/>
      <c r="L20" s="133"/>
      <c r="M20" s="289">
        <f>M14*L14+M15*L15+M16*L16+M17*L17+M18*L18+M19*L19</f>
        <v>0</v>
      </c>
      <c r="N20" s="59"/>
      <c r="P20" s="56"/>
      <c r="Q20" s="507" t="s">
        <v>326</v>
      </c>
      <c r="R20" s="508"/>
      <c r="S20" s="509"/>
      <c r="T20" s="196"/>
      <c r="U20" s="136"/>
      <c r="V20" s="90">
        <v>0</v>
      </c>
      <c r="W20" s="196"/>
      <c r="X20" s="499"/>
      <c r="Y20" s="500"/>
      <c r="Z20" s="504"/>
      <c r="AA20" s="492"/>
      <c r="AB20" s="59"/>
    </row>
    <row r="21" spans="2:28" ht="15.75" thickBot="1" x14ac:dyDescent="0.3">
      <c r="B21" s="56"/>
      <c r="C21" s="196"/>
      <c r="D21" s="196"/>
      <c r="E21" s="196"/>
      <c r="F21" s="196"/>
      <c r="G21" s="64"/>
      <c r="H21" s="196"/>
      <c r="I21" s="196"/>
      <c r="J21" s="196"/>
      <c r="K21" s="196"/>
      <c r="L21" s="196"/>
      <c r="M21" s="196"/>
      <c r="N21" s="59"/>
      <c r="P21" s="56"/>
      <c r="Q21" s="305" t="s">
        <v>10</v>
      </c>
      <c r="R21" s="292" t="s">
        <v>224</v>
      </c>
      <c r="S21" s="301" t="s">
        <v>222</v>
      </c>
      <c r="T21" s="58"/>
      <c r="U21" s="136"/>
      <c r="V21" s="90">
        <v>0</v>
      </c>
      <c r="W21" s="58"/>
      <c r="X21" s="499"/>
      <c r="Y21" s="500"/>
      <c r="Z21" s="504"/>
      <c r="AA21" s="492"/>
      <c r="AB21" s="59"/>
    </row>
    <row r="22" spans="2:28" ht="15.75" thickBot="1" x14ac:dyDescent="0.3">
      <c r="B22" s="56"/>
      <c r="C22" s="292" t="s">
        <v>477</v>
      </c>
      <c r="D22" s="292" t="s">
        <v>317</v>
      </c>
      <c r="E22" s="64"/>
      <c r="F22" s="64"/>
      <c r="G22" s="64"/>
      <c r="H22" s="64"/>
      <c r="I22" s="298" t="s">
        <v>317</v>
      </c>
      <c r="J22" s="299" t="s">
        <v>223</v>
      </c>
      <c r="K22" s="299" t="s">
        <v>27</v>
      </c>
      <c r="L22" s="292" t="s">
        <v>317</v>
      </c>
      <c r="M22" s="301" t="s">
        <v>223</v>
      </c>
      <c r="N22" s="59"/>
      <c r="P22" s="56"/>
      <c r="Q22" s="293" t="s">
        <v>29</v>
      </c>
      <c r="R22" s="90">
        <v>0</v>
      </c>
      <c r="S22" s="308" t="s">
        <v>327</v>
      </c>
      <c r="T22" s="58"/>
      <c r="U22" s="136"/>
      <c r="V22" s="90">
        <v>0</v>
      </c>
      <c r="W22" s="58"/>
      <c r="X22" s="499"/>
      <c r="Y22" s="500"/>
      <c r="Z22" s="504"/>
      <c r="AA22" s="492"/>
      <c r="AB22" s="59"/>
    </row>
    <row r="23" spans="2:28" ht="15" customHeight="1" x14ac:dyDescent="0.25">
      <c r="B23" s="56"/>
      <c r="C23" s="302" t="str">
        <f>Cadastro!C37</f>
        <v>Mula</v>
      </c>
      <c r="D23" s="242"/>
      <c r="E23" s="58"/>
      <c r="F23" s="58"/>
      <c r="G23" s="64"/>
      <c r="H23" s="64"/>
      <c r="I23" s="237"/>
      <c r="J23" s="90">
        <v>0</v>
      </c>
      <c r="K23" s="234">
        <f>J23*I23</f>
        <v>0</v>
      </c>
      <c r="L23" s="239"/>
      <c r="M23" s="90">
        <v>0</v>
      </c>
      <c r="N23" s="59"/>
      <c r="P23" s="56"/>
      <c r="Q23" s="294" t="s">
        <v>30</v>
      </c>
      <c r="R23" s="90">
        <v>0</v>
      </c>
      <c r="S23" s="309" t="s">
        <v>327</v>
      </c>
      <c r="T23" s="58"/>
      <c r="U23" s="136"/>
      <c r="V23" s="90">
        <v>0</v>
      </c>
      <c r="W23" s="58"/>
      <c r="X23" s="499"/>
      <c r="Y23" s="500"/>
      <c r="Z23" s="504"/>
      <c r="AA23" s="492"/>
      <c r="AB23" s="59"/>
    </row>
    <row r="24" spans="2:28" x14ac:dyDescent="0.25">
      <c r="B24" s="56"/>
      <c r="C24" s="303" t="str">
        <f>Cadastro!C38</f>
        <v>Cavalo</v>
      </c>
      <c r="D24" s="63"/>
      <c r="E24" s="58"/>
      <c r="F24" s="58"/>
      <c r="G24" s="64"/>
      <c r="H24" s="64"/>
      <c r="I24" s="197"/>
      <c r="J24" s="90">
        <v>0</v>
      </c>
      <c r="K24" s="130">
        <f>J24*I24</f>
        <v>0</v>
      </c>
      <c r="L24" s="145"/>
      <c r="M24" s="90">
        <v>0</v>
      </c>
      <c r="N24" s="59"/>
      <c r="P24" s="56"/>
      <c r="Q24" s="294" t="s">
        <v>31</v>
      </c>
      <c r="R24" s="90">
        <v>0</v>
      </c>
      <c r="S24" s="309" t="s">
        <v>327</v>
      </c>
      <c r="T24" s="58"/>
      <c r="U24" s="136"/>
      <c r="V24" s="90">
        <v>0</v>
      </c>
      <c r="W24" s="58"/>
      <c r="X24" s="501"/>
      <c r="Y24" s="502"/>
      <c r="Z24" s="504"/>
      <c r="AA24" s="492"/>
      <c r="AB24" s="59"/>
    </row>
    <row r="25" spans="2:28" ht="15" customHeight="1" thickBot="1" x14ac:dyDescent="0.3">
      <c r="B25" s="56"/>
      <c r="C25" s="304" t="str">
        <f>Cadastro!C39</f>
        <v>Cavalo</v>
      </c>
      <c r="D25" s="147"/>
      <c r="E25" s="58"/>
      <c r="F25" s="58"/>
      <c r="G25" s="64"/>
      <c r="H25" s="64"/>
      <c r="I25" s="198"/>
      <c r="J25" s="90">
        <v>0</v>
      </c>
      <c r="K25" s="199">
        <f>J25*I25</f>
        <v>0</v>
      </c>
      <c r="L25" s="149"/>
      <c r="M25" s="90">
        <v>0</v>
      </c>
      <c r="N25" s="59"/>
      <c r="P25" s="56"/>
      <c r="Q25" s="294" t="s">
        <v>32</v>
      </c>
      <c r="R25" s="90">
        <v>0</v>
      </c>
      <c r="S25" s="309" t="s">
        <v>327</v>
      </c>
      <c r="T25" s="58"/>
      <c r="U25" s="136"/>
      <c r="V25" s="90">
        <v>0</v>
      </c>
      <c r="W25" s="58"/>
      <c r="X25" s="473" t="s">
        <v>215</v>
      </c>
      <c r="Y25" s="474"/>
      <c r="Z25" s="537" t="s">
        <v>450</v>
      </c>
      <c r="AA25" s="538"/>
      <c r="AB25" s="59"/>
    </row>
    <row r="26" spans="2:28" ht="15.75" thickBot="1" x14ac:dyDescent="0.3">
      <c r="B26" s="56"/>
      <c r="C26" s="58"/>
      <c r="D26" s="58"/>
      <c r="E26" s="58"/>
      <c r="F26" s="58"/>
      <c r="G26" s="64"/>
      <c r="H26" s="64"/>
      <c r="I26" s="91"/>
      <c r="J26" s="58"/>
      <c r="K26" s="64"/>
      <c r="L26" s="64"/>
      <c r="M26" s="131">
        <f>M23*L23+M24*L24+M25*L25</f>
        <v>0</v>
      </c>
      <c r="N26" s="59"/>
      <c r="P26" s="56"/>
      <c r="Q26" s="294" t="s">
        <v>33</v>
      </c>
      <c r="R26" s="90">
        <v>0</v>
      </c>
      <c r="S26" s="309" t="s">
        <v>327</v>
      </c>
      <c r="T26" s="58"/>
      <c r="U26" s="136"/>
      <c r="V26" s="90">
        <v>0</v>
      </c>
      <c r="W26" s="58"/>
      <c r="X26" s="473"/>
      <c r="Y26" s="474"/>
      <c r="Z26" s="539" t="s">
        <v>495</v>
      </c>
      <c r="AA26" s="540"/>
      <c r="AB26" s="59"/>
    </row>
    <row r="27" spans="2:28" ht="18" customHeight="1" thickBot="1" x14ac:dyDescent="0.3">
      <c r="B27" s="56"/>
      <c r="C27" s="58"/>
      <c r="D27" s="58"/>
      <c r="E27" s="58"/>
      <c r="F27" s="58"/>
      <c r="G27" s="58"/>
      <c r="H27" s="64"/>
      <c r="I27" s="58"/>
      <c r="J27" s="58"/>
      <c r="K27" s="58"/>
      <c r="L27" s="58"/>
      <c r="M27" s="58"/>
      <c r="N27" s="59"/>
      <c r="P27" s="56"/>
      <c r="Q27" s="296" t="s">
        <v>34</v>
      </c>
      <c r="R27" s="90">
        <v>0</v>
      </c>
      <c r="S27" s="129" t="s">
        <v>327</v>
      </c>
      <c r="T27" s="58"/>
      <c r="U27" s="136"/>
      <c r="V27" s="90">
        <v>0</v>
      </c>
      <c r="W27" s="58"/>
      <c r="X27" s="473"/>
      <c r="Y27" s="474"/>
      <c r="Z27" s="539" t="s">
        <v>464</v>
      </c>
      <c r="AA27" s="540"/>
      <c r="AB27" s="59"/>
    </row>
    <row r="28" spans="2:28" ht="15.75" thickBot="1" x14ac:dyDescent="0.3">
      <c r="B28" s="56"/>
      <c r="C28" s="305" t="s">
        <v>314</v>
      </c>
      <c r="D28" s="292" t="s">
        <v>492</v>
      </c>
      <c r="E28" s="292" t="s">
        <v>493</v>
      </c>
      <c r="F28" s="292" t="s">
        <v>27</v>
      </c>
      <c r="G28" s="301" t="s">
        <v>484</v>
      </c>
      <c r="H28" s="64"/>
      <c r="I28" s="95"/>
      <c r="J28" s="95"/>
      <c r="K28" s="95"/>
      <c r="L28" s="95"/>
      <c r="M28" s="95"/>
      <c r="N28" s="97"/>
      <c r="P28" s="56"/>
      <c r="Q28" s="104"/>
      <c r="R28" s="104"/>
      <c r="S28" s="104"/>
      <c r="T28" s="58"/>
      <c r="U28" s="136"/>
      <c r="V28" s="90">
        <v>0</v>
      </c>
      <c r="W28" s="58"/>
      <c r="X28" s="473"/>
      <c r="Y28" s="474"/>
      <c r="Z28" s="539" t="s">
        <v>496</v>
      </c>
      <c r="AA28" s="540"/>
      <c r="AB28" s="59"/>
    </row>
    <row r="29" spans="2:28" ht="15" customHeight="1" thickBot="1" x14ac:dyDescent="0.3">
      <c r="B29" s="56"/>
      <c r="C29" s="310" t="s">
        <v>487</v>
      </c>
      <c r="D29" s="243"/>
      <c r="E29" s="90">
        <v>0</v>
      </c>
      <c r="F29" s="359">
        <f>E29*D29</f>
        <v>0</v>
      </c>
      <c r="G29" s="244" t="s">
        <v>485</v>
      </c>
      <c r="H29" s="64"/>
      <c r="I29" s="95"/>
      <c r="J29" s="95"/>
      <c r="K29" s="95"/>
      <c r="L29" s="95"/>
      <c r="M29" s="95"/>
      <c r="N29" s="97"/>
      <c r="P29" s="56"/>
      <c r="Q29" s="292" t="s">
        <v>11</v>
      </c>
      <c r="R29" s="292" t="s">
        <v>224</v>
      </c>
      <c r="S29" s="292" t="s">
        <v>222</v>
      </c>
      <c r="T29" s="58"/>
      <c r="U29" s="136"/>
      <c r="V29" s="90">
        <v>0</v>
      </c>
      <c r="W29" s="58"/>
      <c r="X29" s="473"/>
      <c r="Y29" s="474"/>
      <c r="Z29" s="543" t="s">
        <v>402</v>
      </c>
      <c r="AA29" s="544"/>
      <c r="AB29" s="59"/>
    </row>
    <row r="30" spans="2:28" ht="15" customHeight="1" x14ac:dyDescent="0.25">
      <c r="B30" s="56"/>
      <c r="C30" s="311" t="s">
        <v>488</v>
      </c>
      <c r="D30" s="151"/>
      <c r="E30" s="90">
        <v>0</v>
      </c>
      <c r="F30" s="359">
        <f t="shared" ref="F30:F32" si="0">E30*D30</f>
        <v>0</v>
      </c>
      <c r="G30" s="200" t="s">
        <v>486</v>
      </c>
      <c r="H30" s="64"/>
      <c r="I30" s="95"/>
      <c r="J30" s="95"/>
      <c r="K30" s="95"/>
      <c r="L30" s="95"/>
      <c r="M30" s="95"/>
      <c r="N30" s="97"/>
      <c r="P30" s="56"/>
      <c r="Q30" s="293" t="s">
        <v>29</v>
      </c>
      <c r="R30" s="90">
        <v>0</v>
      </c>
      <c r="S30" s="308" t="s">
        <v>327</v>
      </c>
      <c r="T30" s="58"/>
      <c r="U30" s="136"/>
      <c r="V30" s="90">
        <v>0</v>
      </c>
      <c r="W30" s="58"/>
      <c r="X30" s="475" t="s">
        <v>216</v>
      </c>
      <c r="Y30" s="476"/>
      <c r="Z30" s="527" t="s">
        <v>451</v>
      </c>
      <c r="AA30" s="528"/>
      <c r="AB30" s="59"/>
    </row>
    <row r="31" spans="2:28" x14ac:dyDescent="0.25">
      <c r="B31" s="56"/>
      <c r="C31" s="311" t="s">
        <v>489</v>
      </c>
      <c r="D31" s="151"/>
      <c r="E31" s="90">
        <v>0</v>
      </c>
      <c r="F31" s="359">
        <f t="shared" si="0"/>
        <v>0</v>
      </c>
      <c r="G31" s="200" t="s">
        <v>494</v>
      </c>
      <c r="H31" s="64"/>
      <c r="I31" s="95"/>
      <c r="J31" s="95"/>
      <c r="K31" s="95"/>
      <c r="L31" s="95"/>
      <c r="M31" s="95"/>
      <c r="N31" s="97"/>
      <c r="P31" s="56"/>
      <c r="Q31" s="294" t="s">
        <v>35</v>
      </c>
      <c r="R31" s="90">
        <v>0</v>
      </c>
      <c r="S31" s="309" t="s">
        <v>327</v>
      </c>
      <c r="T31" s="58"/>
      <c r="U31" s="136"/>
      <c r="V31" s="90">
        <v>0</v>
      </c>
      <c r="W31" s="58"/>
      <c r="X31" s="477"/>
      <c r="Y31" s="478"/>
      <c r="Z31" s="529"/>
      <c r="AA31" s="530"/>
      <c r="AB31" s="59"/>
    </row>
    <row r="32" spans="2:28" ht="18.75" customHeight="1" x14ac:dyDescent="0.25">
      <c r="B32" s="56"/>
      <c r="C32" s="311" t="s">
        <v>490</v>
      </c>
      <c r="D32" s="151"/>
      <c r="E32" s="90">
        <v>0</v>
      </c>
      <c r="F32" s="359">
        <f t="shared" si="0"/>
        <v>0</v>
      </c>
      <c r="G32" s="200" t="s">
        <v>402</v>
      </c>
      <c r="H32" s="64"/>
      <c r="I32" s="95"/>
      <c r="J32" s="95"/>
      <c r="K32" s="95"/>
      <c r="L32" s="95"/>
      <c r="M32" s="95"/>
      <c r="N32" s="97"/>
      <c r="P32" s="56"/>
      <c r="Q32" s="294" t="s">
        <v>31</v>
      </c>
      <c r="R32" s="90">
        <v>0</v>
      </c>
      <c r="S32" s="309" t="s">
        <v>327</v>
      </c>
      <c r="T32" s="58"/>
      <c r="U32" s="136"/>
      <c r="V32" s="90">
        <v>0</v>
      </c>
      <c r="W32" s="58"/>
      <c r="X32" s="535" t="s">
        <v>410</v>
      </c>
      <c r="Y32" s="536"/>
      <c r="Z32" s="495" t="s">
        <v>411</v>
      </c>
      <c r="AA32" s="496"/>
      <c r="AB32" s="59"/>
    </row>
    <row r="33" spans="2:28" ht="15.75" thickBot="1" x14ac:dyDescent="0.3">
      <c r="B33" s="56"/>
      <c r="C33" s="312" t="s">
        <v>491</v>
      </c>
      <c r="D33" s="201"/>
      <c r="E33" s="90">
        <v>0</v>
      </c>
      <c r="F33" s="360">
        <f>E33*D33</f>
        <v>0</v>
      </c>
      <c r="G33" s="202" t="s">
        <v>402</v>
      </c>
      <c r="H33" s="64"/>
      <c r="I33" s="95"/>
      <c r="J33" s="95"/>
      <c r="K33" s="95"/>
      <c r="L33" s="95"/>
      <c r="M33" s="95"/>
      <c r="N33" s="152"/>
      <c r="P33" s="56"/>
      <c r="Q33" s="294" t="s">
        <v>32</v>
      </c>
      <c r="R33" s="90">
        <v>0</v>
      </c>
      <c r="S33" s="309" t="s">
        <v>327</v>
      </c>
      <c r="T33" s="58"/>
      <c r="U33" s="136"/>
      <c r="V33" s="90">
        <v>0</v>
      </c>
      <c r="W33" s="58"/>
      <c r="X33" s="535"/>
      <c r="Y33" s="536"/>
      <c r="Z33" s="495"/>
      <c r="AA33" s="496"/>
      <c r="AB33" s="59"/>
    </row>
    <row r="34" spans="2:28" ht="15.75" thickBot="1" x14ac:dyDescent="0.3">
      <c r="B34" s="56"/>
      <c r="C34" s="196"/>
      <c r="D34" s="155">
        <f>SUM(D29:D33)</f>
        <v>0</v>
      </c>
      <c r="E34" s="196"/>
      <c r="F34" s="155">
        <f>SUM(F29:F33)</f>
        <v>0</v>
      </c>
      <c r="G34" s="196"/>
      <c r="H34" s="196"/>
      <c r="I34" s="95"/>
      <c r="J34" s="95"/>
      <c r="K34" s="95"/>
      <c r="L34" s="95"/>
      <c r="M34" s="95"/>
      <c r="N34" s="59"/>
      <c r="P34" s="56"/>
      <c r="Q34" s="294" t="s">
        <v>36</v>
      </c>
      <c r="R34" s="90">
        <v>0</v>
      </c>
      <c r="S34" s="309" t="s">
        <v>327</v>
      </c>
      <c r="T34" s="58"/>
      <c r="U34" s="136"/>
      <c r="V34" s="90">
        <v>0</v>
      </c>
      <c r="W34" s="58"/>
      <c r="X34" s="535"/>
      <c r="Y34" s="536"/>
      <c r="Z34" s="495"/>
      <c r="AA34" s="496"/>
      <c r="AB34" s="59"/>
    </row>
    <row r="35" spans="2:28" ht="15.75" thickBot="1" x14ac:dyDescent="0.3">
      <c r="B35" s="56"/>
      <c r="C35" s="196"/>
      <c r="D35" s="196"/>
      <c r="E35" s="196"/>
      <c r="F35" s="196"/>
      <c r="G35" s="196"/>
      <c r="H35" s="196"/>
      <c r="I35" s="95"/>
      <c r="J35" s="95"/>
      <c r="K35" s="95"/>
      <c r="L35" s="95"/>
      <c r="M35" s="95"/>
      <c r="N35" s="59"/>
      <c r="P35" s="56"/>
      <c r="Q35" s="296" t="s">
        <v>37</v>
      </c>
      <c r="R35" s="90">
        <v>0</v>
      </c>
      <c r="S35" s="129" t="s">
        <v>327</v>
      </c>
      <c r="T35" s="58"/>
      <c r="U35" s="136"/>
      <c r="V35" s="90">
        <v>0</v>
      </c>
      <c r="W35" s="58"/>
      <c r="X35" s="473" t="s">
        <v>412</v>
      </c>
      <c r="Y35" s="474"/>
      <c r="Z35" s="495" t="s">
        <v>497</v>
      </c>
      <c r="AA35" s="496"/>
      <c r="AB35" s="59"/>
    </row>
    <row r="36" spans="2:28" ht="15.75" thickBot="1" x14ac:dyDescent="0.3">
      <c r="B36" s="56"/>
      <c r="C36" s="153"/>
      <c r="D36" s="153"/>
      <c r="E36" s="153"/>
      <c r="F36" s="58"/>
      <c r="G36" s="196"/>
      <c r="H36" s="196"/>
      <c r="I36" s="58"/>
      <c r="J36" s="58"/>
      <c r="K36" s="58"/>
      <c r="L36" s="58"/>
      <c r="M36" s="58"/>
      <c r="N36" s="59"/>
      <c r="P36" s="56"/>
      <c r="Q36" s="104"/>
      <c r="R36" s="104"/>
      <c r="S36" s="104"/>
      <c r="T36" s="58"/>
      <c r="U36" s="136"/>
      <c r="V36" s="90">
        <v>0</v>
      </c>
      <c r="W36" s="58"/>
      <c r="X36" s="475" t="s">
        <v>213</v>
      </c>
      <c r="Y36" s="531"/>
      <c r="Z36" s="537" t="s">
        <v>498</v>
      </c>
      <c r="AA36" s="538"/>
      <c r="AB36" s="59"/>
    </row>
    <row r="37" spans="2:28" ht="15.75" thickBot="1" x14ac:dyDescent="0.3">
      <c r="B37" s="56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P37" s="56"/>
      <c r="Q37" s="307" t="s">
        <v>316</v>
      </c>
      <c r="R37" s="292" t="s">
        <v>224</v>
      </c>
      <c r="S37" s="292" t="s">
        <v>222</v>
      </c>
      <c r="T37" s="58"/>
      <c r="U37" s="136"/>
      <c r="V37" s="90">
        <v>0</v>
      </c>
      <c r="W37" s="58"/>
      <c r="X37" s="483"/>
      <c r="Y37" s="532"/>
      <c r="Z37" s="539" t="s">
        <v>499</v>
      </c>
      <c r="AA37" s="540"/>
      <c r="AB37" s="59"/>
    </row>
    <row r="38" spans="2:28" x14ac:dyDescent="0.25">
      <c r="B38" s="5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P38" s="56"/>
      <c r="Q38" s="293" t="str">
        <f>Cadastro!C37</f>
        <v>Mula</v>
      </c>
      <c r="R38" s="90">
        <v>0</v>
      </c>
      <c r="S38" s="308" t="s">
        <v>327</v>
      </c>
      <c r="T38" s="58"/>
      <c r="U38" s="136"/>
      <c r="V38" s="90">
        <v>0</v>
      </c>
      <c r="W38" s="58"/>
      <c r="X38" s="483"/>
      <c r="Y38" s="532"/>
      <c r="Z38" s="539" t="s">
        <v>500</v>
      </c>
      <c r="AA38" s="540"/>
      <c r="AB38" s="59"/>
    </row>
    <row r="39" spans="2:28" ht="15.75" thickBot="1" x14ac:dyDescent="0.3">
      <c r="B39" s="5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P39" s="56"/>
      <c r="Q39" s="296" t="str">
        <f>Cadastro!C38</f>
        <v>Cavalo</v>
      </c>
      <c r="R39" s="90">
        <v>0</v>
      </c>
      <c r="S39" s="129" t="s">
        <v>327</v>
      </c>
      <c r="T39" s="58"/>
      <c r="U39" s="88" t="s">
        <v>27</v>
      </c>
      <c r="V39" s="268">
        <f>SUM(V5:V35)</f>
        <v>0</v>
      </c>
      <c r="W39" s="58"/>
      <c r="X39" s="533"/>
      <c r="Y39" s="534"/>
      <c r="Z39" s="541" t="s">
        <v>402</v>
      </c>
      <c r="AA39" s="542"/>
      <c r="AB39" s="59"/>
    </row>
    <row r="40" spans="2:28" ht="15.75" thickBot="1" x14ac:dyDescent="0.3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P40" s="11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</row>
    <row r="41" spans="2:28" ht="7.5" customHeight="1" x14ac:dyDescent="0.25"/>
  </sheetData>
  <sheetProtection algorithmName="SHA-512" hashValue="YulrKZM9VFPo+ZcHjIzjWouPCg+O7KD/H7Cig/fK8sP3IiC1o9qcg8JMIY4kJB44hjRDka4mbj3GbkjtF1CAbA==" saltValue="tgEPeoV+79e4qF6OKdthhg==" spinCount="100000" sheet="1" selectLockedCells="1"/>
  <mergeCells count="49">
    <mergeCell ref="Z29:AA29"/>
    <mergeCell ref="Z36:AA36"/>
    <mergeCell ref="Z37:AA37"/>
    <mergeCell ref="Z38:AA38"/>
    <mergeCell ref="Z39:AA39"/>
    <mergeCell ref="X3:AA4"/>
    <mergeCell ref="Q4:R4"/>
    <mergeCell ref="C3:D3"/>
    <mergeCell ref="G3:K3"/>
    <mergeCell ref="L3:M3"/>
    <mergeCell ref="Q3:S3"/>
    <mergeCell ref="U3:V3"/>
    <mergeCell ref="Q16:R16"/>
    <mergeCell ref="X16:Y18"/>
    <mergeCell ref="Z16:AA18"/>
    <mergeCell ref="Q17:R17"/>
    <mergeCell ref="Q5:R5"/>
    <mergeCell ref="X5:Y10"/>
    <mergeCell ref="Z5:AA10"/>
    <mergeCell ref="Q6:R6"/>
    <mergeCell ref="Q7:R7"/>
    <mergeCell ref="Q8:R8"/>
    <mergeCell ref="Q9:R9"/>
    <mergeCell ref="Q10:R10"/>
    <mergeCell ref="Q11:R11"/>
    <mergeCell ref="X11:Y12"/>
    <mergeCell ref="Z11:AA12"/>
    <mergeCell ref="Q12:R12"/>
    <mergeCell ref="Q13:R13"/>
    <mergeCell ref="X13:Y15"/>
    <mergeCell ref="Z13:AA15"/>
    <mergeCell ref="Q14:R14"/>
    <mergeCell ref="Q15:R15"/>
    <mergeCell ref="Q18:R18"/>
    <mergeCell ref="X36:Y39"/>
    <mergeCell ref="X25:Y29"/>
    <mergeCell ref="X30:Y31"/>
    <mergeCell ref="Z30:AA31"/>
    <mergeCell ref="X32:Y34"/>
    <mergeCell ref="Z32:AA34"/>
    <mergeCell ref="X35:Y35"/>
    <mergeCell ref="Z35:AA35"/>
    <mergeCell ref="Q20:S20"/>
    <mergeCell ref="X19:Y24"/>
    <mergeCell ref="Z19:AA24"/>
    <mergeCell ref="Z25:AA25"/>
    <mergeCell ref="Z26:AA26"/>
    <mergeCell ref="Z27:AA27"/>
    <mergeCell ref="Z28:AA28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D40334-C731-423E-9511-C36C009855ED}">
          <x14:formula1>
            <xm:f>Lista_suspensa!$A$21:$A$30</xm:f>
          </x14:formula1>
          <xm:sqref>U5:U38</xm:sqref>
        </x14:dataValidation>
        <x14:dataValidation type="list" allowBlank="1" showInputMessage="1" showErrorMessage="1" xr:uid="{DBB7ED12-E943-466F-A456-2C35C9BC64FE}">
          <x14:formula1>
            <xm:f>Lista_suspensa!$E$30:$E$32</xm:f>
          </x14:formula1>
          <xm:sqref>I5:I10 I14:I19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Lista_suspensa</vt:lpstr>
      <vt:lpstr>Índice</vt:lpstr>
      <vt:lpstr>Cadastro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Salgado</dc:creator>
  <cp:lastModifiedBy>Emanuel Salgado</cp:lastModifiedBy>
  <dcterms:created xsi:type="dcterms:W3CDTF">2021-08-13T12:18:36Z</dcterms:created>
  <dcterms:modified xsi:type="dcterms:W3CDTF">2021-12-10T20:11:12Z</dcterms:modified>
</cp:coreProperties>
</file>